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Ay1rkw+YIwJPc+6omDixk/PNIRCz9Mw3cPmGW5y/qQFtsOCsHa723YctqijTxK4vPJn0/AaqxxAgCIYkjS/daw==" workbookSaltValue="Zc5dNzj33O10Y81R+el8a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8"/>
  <c r="AW13" i="11"/>
  <c r="EW19" i="19"/>
  <c r="AU13" i="17"/>
  <c r="AW18" i="11"/>
  <c r="BP18" i="16"/>
  <c r="BP13" i="16"/>
  <c r="AX13" i="21"/>
  <c r="AY19" i="20"/>
  <c r="AW18" i="20"/>
  <c r="AW13" i="20"/>
  <c r="AU18" i="17"/>
  <c r="EV19" i="8"/>
  <c r="EV19" i="13"/>
  <c r="AU19" i="17" l="1"/>
  <c r="AX21" i="21"/>
  <c r="BR19" i="16"/>
  <c r="AW21" i="11"/>
  <c r="BB16" i="13"/>
  <c r="BA16" i="13"/>
  <c r="BB15" i="13"/>
  <c r="BA15" i="13"/>
  <c r="BA18"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A10" i="13"/>
  <c r="AZ10" i="13"/>
  <c r="BG10" i="13" s="1"/>
  <c r="AY10" i="13"/>
  <c r="BC9" i="13"/>
  <c r="BC17" i="13"/>
  <c r="BB17" i="13"/>
  <c r="BA17" i="13"/>
  <c r="AZ17" i="13"/>
  <c r="AZ18" i="13" s="1"/>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BD16" i="8" s="1"/>
  <c r="AY16" i="8"/>
  <c r="BB15" i="8"/>
  <c r="BA15" i="8"/>
  <c r="AZ15" i="8"/>
  <c r="AY15" i="8"/>
  <c r="BB12" i="8"/>
  <c r="BA12" i="8"/>
  <c r="AZ12" i="8"/>
  <c r="AY12" i="8"/>
  <c r="BB11" i="8"/>
  <c r="BA11" i="8"/>
  <c r="AZ11" i="8"/>
  <c r="AY11" i="8"/>
  <c r="BB9" i="8"/>
  <c r="BA9" i="8"/>
  <c r="AY9" i="8"/>
  <c r="AY13"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BF9" i="8" s="1"/>
  <c r="AY10" i="8"/>
  <c r="AZ10" i="8"/>
  <c r="BA10" i="8"/>
  <c r="BE10" i="8" s="1"/>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X19" i="8"/>
  <c r="BE11" i="13"/>
  <c r="BD11" i="13"/>
  <c r="BC18" i="13"/>
  <c r="BF17" i="8"/>
  <c r="BC13" i="13"/>
  <c r="BK19" i="13"/>
  <c r="ER19" i="8"/>
  <c r="EL19" i="8"/>
  <c r="EQ19" i="8"/>
  <c r="D10" i="6"/>
  <c r="ES19" i="8"/>
  <c r="AC19" i="8"/>
  <c r="BH19" i="13"/>
  <c r="R19" i="8"/>
  <c r="EP19" i="8"/>
  <c r="EP19" i="19"/>
  <c r="AT17" i="20"/>
  <c r="K18" i="2"/>
  <c r="M13" i="2"/>
  <c r="AL12" i="11"/>
  <c r="H13" i="12"/>
  <c r="T13" i="12"/>
  <c r="T13" i="16"/>
  <c r="T13" i="20"/>
  <c r="BD12" i="8"/>
  <c r="J18" i="17"/>
  <c r="BG15" i="13"/>
  <c r="BE15" i="13"/>
  <c r="AO20" i="20"/>
  <c r="AN20" i="20"/>
  <c r="Y20" i="20"/>
  <c r="U10" i="11"/>
  <c r="AH20" i="20"/>
  <c r="AL20" i="20"/>
  <c r="AB20" i="20"/>
  <c r="AJ19" i="8" l="1"/>
  <c r="T19" i="8"/>
  <c r="BG15" i="8"/>
  <c r="AC10" i="11"/>
  <c r="D13" i="7"/>
  <c r="BD9" i="8"/>
  <c r="AL9" i="11"/>
  <c r="F9" i="2"/>
  <c r="B10" i="6"/>
  <c r="N13" i="2"/>
  <c r="H12" i="7"/>
  <c r="E12" i="6"/>
  <c r="AO12" i="11"/>
  <c r="H12" i="2"/>
  <c r="K15" i="7"/>
  <c r="L9" i="14"/>
  <c r="C10" i="6"/>
  <c r="I10" i="12" s="1"/>
  <c r="AO17" i="11"/>
  <c r="L16" i="14"/>
  <c r="C17" i="6"/>
  <c r="BB13" i="13"/>
  <c r="R8" i="9"/>
  <c r="BF15" i="13"/>
  <c r="BG16" i="13"/>
  <c r="BE16" i="13"/>
  <c r="L17" i="14"/>
  <c r="F15" i="17"/>
  <c r="AQ15" i="17" s="1"/>
  <c r="L12" i="14"/>
  <c r="AY13" i="13"/>
  <c r="BG13" i="13" s="1"/>
  <c r="BA13" i="13"/>
  <c r="X12" i="21"/>
  <c r="BF11" i="11"/>
  <c r="BL9" i="11"/>
  <c r="BH17" i="16"/>
  <c r="T17" i="11"/>
  <c r="AP16" i="20"/>
  <c r="BH9" i="16"/>
  <c r="V15" i="11"/>
  <c r="BJ17" i="11"/>
  <c r="BH15" i="11"/>
  <c r="BH15" i="16"/>
  <c r="Q17" i="20"/>
  <c r="Q18" i="20" s="1"/>
  <c r="V11" i="16"/>
  <c r="BF17" i="11"/>
  <c r="BF16" i="11"/>
  <c r="S17" i="16"/>
  <c r="BL12" i="11"/>
  <c r="V17" i="16"/>
  <c r="BK11" i="11"/>
  <c r="AP10" i="21"/>
  <c r="BM12" i="11"/>
  <c r="BH9" i="11"/>
  <c r="BI15" i="11"/>
  <c r="BJ15" i="11"/>
  <c r="BJ12" i="11"/>
  <c r="AP15" i="20"/>
  <c r="BG15" i="11"/>
  <c r="R17" i="20"/>
  <c r="R18" i="20" s="1"/>
  <c r="BK17" i="11"/>
  <c r="AZ9" i="11"/>
  <c r="AZ19" i="11" s="1"/>
  <c r="AP17" i="20"/>
  <c r="BU15" i="17"/>
  <c r="BW9" i="20"/>
  <c r="BW17" i="20"/>
  <c r="BV16" i="16"/>
  <c r="BW16" i="20"/>
  <c r="BV15" i="16"/>
  <c r="BW15" i="20"/>
  <c r="BU9" i="17"/>
  <c r="BV10" i="16"/>
  <c r="BU17" i="17"/>
  <c r="BU16" i="17"/>
  <c r="BV9" i="16"/>
  <c r="AZ16" i="11"/>
  <c r="T16" i="11"/>
  <c r="S15" i="16"/>
  <c r="P15" i="17"/>
  <c r="BF12" i="11"/>
  <c r="BL15" i="11"/>
  <c r="BL10" i="11"/>
  <c r="BH10" i="16"/>
  <c r="Q15" i="17"/>
  <c r="BM17" i="11"/>
  <c r="BF15" i="11"/>
  <c r="BM9" i="11"/>
  <c r="BH12" i="16"/>
  <c r="BK10" i="11"/>
  <c r="L15" i="2"/>
  <c r="L17" i="2"/>
  <c r="V10" i="16"/>
  <c r="V9" i="16"/>
  <c r="T9" i="11"/>
  <c r="BH11" i="16"/>
  <c r="BG10" i="11"/>
  <c r="BM16" i="11"/>
  <c r="P17" i="17"/>
  <c r="BL17" i="11"/>
  <c r="BK12" i="11"/>
  <c r="BF10" i="11"/>
  <c r="BK9" i="11"/>
  <c r="BK15" i="11"/>
  <c r="V11" i="11"/>
  <c r="BI10" i="11"/>
  <c r="Q10" i="21"/>
  <c r="V9" i="11"/>
  <c r="BJ11" i="11"/>
  <c r="R10" i="21"/>
  <c r="R13" i="21" s="1"/>
  <c r="BI17" i="11"/>
  <c r="BG9" i="11"/>
  <c r="BL11" i="11"/>
  <c r="BH17" i="11"/>
  <c r="BM15" i="11"/>
  <c r="T17" i="16"/>
  <c r="T15" i="16"/>
  <c r="BU11" i="17"/>
  <c r="BV17" i="16"/>
  <c r="BU10" i="17"/>
  <c r="BV12" i="16"/>
  <c r="L9" i="2"/>
  <c r="L16" i="2"/>
  <c r="BJ16" i="11"/>
  <c r="BJ18" i="11" s="1"/>
  <c r="BH16" i="11"/>
  <c r="BH11" i="11"/>
  <c r="BJ10" i="11"/>
  <c r="BI9" i="11"/>
  <c r="Q17" i="17"/>
  <c r="AZ12" i="11"/>
  <c r="BU12" i="17"/>
  <c r="BW10" i="20"/>
  <c r="BW11" i="20"/>
  <c r="BW12" i="20"/>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G17" i="3"/>
  <c r="I10" i="3"/>
  <c r="D13" i="5"/>
  <c r="BF11" i="8"/>
  <c r="BE12" i="8"/>
  <c r="BE15" i="8"/>
  <c r="AO17" i="17"/>
  <c r="AO15" i="17"/>
  <c r="C16" i="6"/>
  <c r="U19" i="8"/>
  <c r="Y19" i="8"/>
  <c r="AI19" i="8"/>
  <c r="BK19" i="8"/>
  <c r="B11" i="6"/>
  <c r="C12" i="14"/>
  <c r="K12" i="14" s="1"/>
  <c r="AZ13" i="11"/>
  <c r="K18" i="11"/>
  <c r="E9" i="6"/>
  <c r="I9" i="7"/>
  <c r="H9" i="7"/>
  <c r="K9" i="7"/>
  <c r="AO10" i="17"/>
  <c r="AM9" i="11"/>
  <c r="AO12" i="17"/>
  <c r="AO11" i="11"/>
  <c r="AL11" i="11"/>
  <c r="AO15" i="11"/>
  <c r="H16" i="7"/>
  <c r="AN17" i="11"/>
  <c r="D15" i="6"/>
  <c r="AN11" i="11"/>
  <c r="M18" i="2"/>
  <c r="N18" i="2"/>
  <c r="BB19" i="19"/>
  <c r="CJ19" i="19"/>
  <c r="Y19" i="19"/>
  <c r="AG19" i="19"/>
  <c r="P18" i="17"/>
  <c r="P19" i="17" s="1"/>
  <c r="W13" i="17"/>
  <c r="X13" i="17" s="1"/>
  <c r="S18" i="16"/>
  <c r="BD17" i="13"/>
  <c r="BE17" i="13"/>
  <c r="BF9" i="13"/>
  <c r="BE10" i="13"/>
  <c r="BG9" i="13"/>
  <c r="ER19" i="13"/>
  <c r="T10" i="21"/>
  <c r="V10" i="21" s="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AO9" i="17"/>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G16" i="3"/>
  <c r="G12" i="3"/>
  <c r="G10" i="3"/>
  <c r="F10" i="2"/>
  <c r="E13" i="2"/>
  <c r="C12" i="6"/>
  <c r="B12" i="6"/>
  <c r="AL10" i="11"/>
  <c r="H10" i="2"/>
  <c r="G13" i="2"/>
  <c r="D10" i="2"/>
  <c r="AO10" i="11"/>
  <c r="AM11" i="11"/>
  <c r="C11" i="6"/>
  <c r="L11" i="14"/>
  <c r="AL17" i="11"/>
  <c r="B17" i="6"/>
  <c r="D17" i="6"/>
  <c r="J17" i="12" s="1"/>
  <c r="I12" i="7"/>
  <c r="J9" i="2"/>
  <c r="AN12" i="11"/>
  <c r="M19" i="21"/>
  <c r="AP13" i="20"/>
  <c r="BE18" i="19"/>
  <c r="AO13" i="20"/>
  <c r="N19" i="19"/>
  <c r="R19" i="19"/>
  <c r="T19" i="19"/>
  <c r="Z19" i="19"/>
  <c r="AL19" i="19"/>
  <c r="AR19" i="19"/>
  <c r="AT19" i="19"/>
  <c r="CK19" i="19"/>
  <c r="EL19" i="19"/>
  <c r="I19" i="19"/>
  <c r="AO18" i="20"/>
  <c r="AT18" i="20"/>
  <c r="U19" i="19"/>
  <c r="AO19" i="19"/>
  <c r="BF18" i="13"/>
  <c r="AE19" i="13"/>
  <c r="U19" i="13"/>
  <c r="AC19" i="13"/>
  <c r="AA19" i="13"/>
  <c r="W19" i="13"/>
  <c r="C19" i="3"/>
  <c r="E17" i="3"/>
  <c r="H17" i="2"/>
  <c r="J11" i="7"/>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AU20" i="20"/>
  <c r="AF20" i="20"/>
  <c r="F20" i="20"/>
  <c r="AK20" i="20"/>
  <c r="W20" i="21"/>
  <c r="AV20" i="20"/>
  <c r="AQ20" i="21"/>
  <c r="K20" i="20"/>
  <c r="AD20" i="20"/>
  <c r="AJ20" i="20"/>
  <c r="J20" i="20"/>
  <c r="O16" i="11"/>
  <c r="AG20" i="20"/>
  <c r="U12" i="11"/>
  <c r="S20" i="20"/>
  <c r="Z20" i="20"/>
  <c r="U16" i="11"/>
  <c r="G18" i="14"/>
  <c r="AE20" i="20"/>
  <c r="X20" i="20"/>
  <c r="R20" i="20"/>
  <c r="O20" i="20"/>
  <c r="Q20" i="20"/>
  <c r="AI20" i="20"/>
  <c r="H20" i="20"/>
  <c r="M20" i="20"/>
  <c r="AQ20" i="20"/>
  <c r="E20" i="20"/>
  <c r="P20" i="20"/>
  <c r="AP20" i="20"/>
  <c r="T20" i="20"/>
  <c r="AZ20" i="20"/>
  <c r="AC20" i="20"/>
  <c r="AM20" i="20"/>
  <c r="W20" i="20"/>
  <c r="I20" i="20"/>
  <c r="N20" i="20"/>
  <c r="AA20" i="20"/>
  <c r="G13" i="14"/>
  <c r="T20" i="21"/>
  <c r="F13" i="2" l="1"/>
  <c r="C13" i="6"/>
  <c r="K9" i="12"/>
  <c r="J13" i="2"/>
  <c r="J18" i="2"/>
  <c r="BH10" i="11"/>
  <c r="BK16" i="11"/>
  <c r="AQ12" i="21"/>
  <c r="U9" i="17"/>
  <c r="U19" i="17" s="1"/>
  <c r="BV11" i="16"/>
  <c r="V12" i="16"/>
  <c r="BG12" i="11"/>
  <c r="AQ10" i="21"/>
  <c r="BG16" i="11"/>
  <c r="BL16" i="11"/>
  <c r="BL18" i="11" s="1"/>
  <c r="U10" i="17"/>
  <c r="R19" i="21"/>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BV13" i="16"/>
  <c r="I17" i="12"/>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L20" i="20"/>
  <c r="O10" i="11"/>
  <c r="U17" i="11"/>
  <c r="AX20" i="20"/>
  <c r="H20" i="17"/>
  <c r="B19" i="7" l="1"/>
  <c r="AO18" i="17"/>
  <c r="U13" i="17"/>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BR20" i="16"/>
  <c r="AW20" i="11"/>
  <c r="AX20" i="21"/>
  <c r="AU20" i="17"/>
  <c r="AV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BN20" i="16"/>
  <c r="AY20" i="21"/>
  <c r="AV20" i="17"/>
  <c r="G20" i="12"/>
  <c r="K20" i="17"/>
  <c r="Z20" i="11"/>
  <c r="BA20" i="16"/>
  <c r="D20" i="12"/>
  <c r="AT20" i="16"/>
  <c r="AV20" i="16"/>
  <c r="Q20" i="11"/>
  <c r="U20" i="11"/>
  <c r="AK20" i="21"/>
  <c r="Z20" i="16"/>
  <c r="M20" i="16"/>
  <c r="Q20" i="16"/>
  <c r="AC20" i="16"/>
  <c r="T20" i="11"/>
  <c r="AH20" i="21"/>
  <c r="BQ20" i="16"/>
  <c r="Y20" i="17"/>
  <c r="S20" i="21"/>
  <c r="AO20" i="16"/>
  <c r="BC20" i="16"/>
  <c r="AC20" i="21"/>
  <c r="U20" i="17"/>
  <c r="BJ20" i="16"/>
  <c r="F20" i="17"/>
  <c r="AQ20" i="16"/>
  <c r="AF20" i="11"/>
  <c r="P20" i="16"/>
  <c r="N20" i="16"/>
  <c r="AG20" i="21"/>
  <c r="AL20" i="17"/>
  <c r="AS20" i="16"/>
  <c r="AD20" i="17"/>
  <c r="H20" i="16"/>
  <c r="Y20" i="21"/>
  <c r="AK20" i="17"/>
  <c r="N20" i="21"/>
  <c r="AU20" i="16"/>
  <c r="V20" i="16"/>
  <c r="J20" i="17"/>
  <c r="BE20" i="16"/>
  <c r="T20" i="16"/>
  <c r="AB20" i="17"/>
  <c r="AA20" i="11"/>
  <c r="AJ20" i="21"/>
  <c r="AJ20" i="16"/>
  <c r="BH20" i="16"/>
  <c r="W20" i="11"/>
  <c r="E20" i="16"/>
  <c r="F20" i="16"/>
  <c r="AD20" i="11"/>
  <c r="K20" i="21"/>
  <c r="M20" i="11"/>
  <c r="AO20" i="17"/>
  <c r="T20" i="17"/>
  <c r="L20" i="11"/>
  <c r="R20" i="11"/>
  <c r="I20" i="11"/>
  <c r="I20" i="17"/>
  <c r="R20" i="16"/>
  <c r="H20" i="11"/>
  <c r="AW20" i="21"/>
  <c r="BB20" i="16"/>
  <c r="L20" i="16"/>
  <c r="AF20" i="21"/>
  <c r="W20" i="17"/>
  <c r="AO20" i="11"/>
  <c r="E20" i="21"/>
  <c r="BM20" i="16"/>
  <c r="AM20" i="11"/>
  <c r="BE20" i="21"/>
  <c r="I20" i="12"/>
  <c r="U20" i="21"/>
  <c r="O12" i="11"/>
  <c r="BD19" i="8" l="1"/>
  <c r="AQ20" i="11"/>
  <c r="AQ20" i="17"/>
  <c r="BL20" i="16"/>
  <c r="AP20" i="11"/>
  <c r="AT20" i="21"/>
  <c r="BM19" i="11"/>
  <c r="V19" i="16"/>
  <c r="BG19" i="11"/>
  <c r="BV19" i="16"/>
  <c r="BV21" i="16"/>
  <c r="G19" i="3"/>
  <c r="Q13" i="11"/>
  <c r="F21" i="11"/>
  <c r="BG19" i="8"/>
  <c r="AO21" i="11"/>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<sst xmlns="http://schemas.openxmlformats.org/spreadsheetml/2006/main" count="2102" uniqueCount="917">
  <si>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</si>
  <si>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</si>
  <si>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</si>
  <si>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</si>
  <si>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</si>
  <si>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</si>
  <si>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</si>
  <si>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</si>
  <si>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</si>
  <si>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</si>
  <si>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</si>
  <si>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</si>
  <si>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</si>
  <si>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</si>
  <si>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</si>
  <si>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</si>
  <si>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</si>
  <si>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</si>
  <si>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</si>
  <si>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</si>
  <si>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</si>
  <si>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</si>
  <si>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</si>
  <si>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</si>
  <si>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</si>
  <si>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</si>
  <si>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</si>
  <si>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</si>
  <si>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</si>
  <si>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</si>
  <si>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</si>
  <si>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</si>
  <si>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</si>
  <si>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</si>
  <si>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</si>
  <si>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</si>
  <si>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</si>
  <si>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</si>
  <si>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</si>
  <si>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</si>
  <si>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</si>
  <si>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</si>
  <si>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</si>
  <si>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</si>
  <si>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</si>
  <si>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</si>
  <si>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</si>
  <si>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</si>
  <si>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</si>
  <si>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</si>
  <si>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</si>
  <si>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</si>
  <si>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</si>
  <si>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</si>
  <si>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</si>
  <si>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</si>
  <si>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</si>
  <si>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</si>
  <si>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</si>
  <si>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</si>
  <si>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</si>
  <si>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</si>
  <si>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</si>
  <si>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</si>
  <si>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</si>
  <si>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</si>
  <si>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</si>
  <si>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</si>
  <si>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</si>
  <si>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</si>
  <si>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</si>
  <si>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</si>
  <si>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</si>
  <si>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</si>
  <si>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</si>
  <si>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</si>
  <si>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</si>
  <si>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</si>
  <si>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</si>
  <si>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</si>
  <si>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</si>
  <si>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</si>
  <si>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</si>
  <si>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</si>
  <si>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</si>
  <si>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</si>
  <si>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</si>
  <si>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</si>
  <si>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</si>
  <si>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</si>
  <si>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</si>
  <si>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</si>
  <si>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</si>
  <si>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</si>
  <si>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</si>
  <si>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</si>
  <si>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</si>
  <si>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</si>
  <si>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</si>
  <si>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</si>
  <si>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</si>
  <si>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</si>
  <si>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</si>
  <si>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</si>
  <si>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</si>
  <si>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</si>
  <si>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</si>
  <si>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</si>
  <si>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</si>
  <si>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</si>
  <si>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</si>
  <si>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</si>
  <si>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</si>
  <si>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</si>
  <si>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</si>
  <si>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</si>
  <si>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</si>
  <si>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</si>
  <si>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</si>
  <si>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</si>
  <si>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</si>
  <si>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</si>
  <si>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</si>
  <si>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</si>
  <si>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</si>
  <si>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</si>
  <si>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</si>
  <si>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</si>
  <si>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</si>
  <si>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</si>
  <si>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</si>
  <si>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</si>
  <si>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</si>
  <si>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</si>
  <si>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</si>
  <si>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</si>
  <si>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</si>
  <si>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</si>
  <si>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</si>
  <si>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</si>
  <si>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</si>
  <si>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</si>
  <si>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</si>
  <si>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</si>
  <si>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</si>
  <si>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</si>
  <si>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</si>
  <si>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</si>
  <si>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</si>
  <si>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</si>
  <si>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</si>
  <si>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</si>
  <si>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</si>
  <si>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</si>
  <si>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</si>
  <si>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</si>
  <si>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</si>
  <si>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</si>
  <si>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</si>
  <si>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</si>
  <si>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</si>
  <si>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</si>
  <si>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</si>
  <si>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</si>
  <si>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</si>
  <si>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</si>
  <si>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</si>
  <si>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</si>
  <si>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</si>
  <si>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</si>
  <si>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</si>
  <si>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</si>
  <si>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</si>
  <si>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</si>
  <si>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</si>
  <si>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</si>
  <si>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</si>
  <si>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</si>
  <si>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</si>
  <si>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</si>
  <si>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</si>
  <si>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</si>
  <si>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</si>
  <si>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</si>
  <si>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</si>
  <si>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</si>
  <si>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</si>
  <si>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</si>
  <si>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</si>
  <si>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</si>
  <si>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</si>
  <si>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</si>
  <si>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</si>
  <si>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</si>
  <si>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</si>
  <si>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</si>
  <si>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</si>
  <si>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</si>
  <si>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</si>
  <si>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</si>
  <si>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</si>
  <si>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</si>
  <si>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</si>
  <si>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</si>
  <si>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</si>
  <si>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</si>
  <si>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</si>
  <si>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</si>
  <si>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</si>
  <si>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</si>
  <si>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</si>
  <si>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</si>
  <si>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</si>
  <si>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</si>
  <si>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</si>
  <si>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</si>
  <si>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</si>
  <si>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</si>
  <si>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</si>
  <si>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</si>
  <si>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</si>
  <si>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</si>
  <si>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</si>
  <si>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</si>
  <si>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</si>
  <si>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</si>
  <si>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</si>
  <si>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</si>
  <si>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</si>
  <si>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</si>
  <si>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</si>
  <si>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</si>
  <si>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</si>
  <si>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</si>
  <si>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</si>
  <si>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</si>
  <si>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</si>
  <si>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</si>
  <si>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</si>
  <si>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</si>
  <si>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</si>
  <si>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</si>
  <si>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</si>
  <si>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</si>
  <si>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</si>
  <si>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</si>
  <si>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</si>
  <si>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</si>
  <si>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</si>
  <si>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</si>
  <si>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</si>
  <si>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</si>
  <si>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</si>
  <si>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</si>
  <si>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</si>
  <si>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</si>
  <si>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</si>
  <si>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</si>
  <si>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</si>
  <si>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</si>
  <si>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</si>
  <si>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</si>
  <si>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</si>
  <si>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</si>
  <si>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</si>
  <si>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</si>
  <si>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</si>
  <si>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</si>
  <si>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</si>
  <si>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</si>
  <si>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</si>
  <si>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</si>
  <si>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</si>
  <si>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</si>
  <si>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</si>
  <si>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</si>
  <si>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</si>
  <si>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</si>
  <si>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</si>
  <si>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</si>
  <si>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</si>
  <si>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</si>
  <si>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</si>
  <si>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</si>
  <si>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</si>
  <si>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</si>
  <si>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</si>
  <si>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</si>
  <si>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</si>
  <si>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</si>
  <si>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</si>
  <si>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</si>
  <si>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</si>
  <si>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</si>
  <si>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</si>
  <si>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</si>
  <si>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</si>
  <si>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</si>
  <si>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</si>
  <si>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</si>
  <si>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</si>
  <si>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</si>
  <si>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</si>
  <si>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</si>
  <si>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</si>
  <si>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</si>
  <si>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</si>
  <si>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</si>
  <si>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</si>
  <si>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</si>
  <si>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</si>
  <si>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</si>
  <si>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</si>
  <si>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</si>
  <si>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</si>
  <si>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</si>
  <si>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</si>
  <si>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</si>
  <si>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</si>
  <si>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</si>
  <si>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</si>
  <si>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</si>
  <si>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</si>
  <si>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</si>
  <si>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</si>
  <si>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</si>
  <si>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</si>
  <si>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</si>
  <si>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</si>
  <si>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</si>
  <si>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</si>
  <si>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</si>
  <si>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</si>
  <si>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</si>
  <si>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</si>
  <si>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</si>
  <si>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</si>
  <si>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</si>
  <si>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</si>
  <si>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</si>
  <si>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</si>
  <si>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</si>
  <si>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</si>
  <si>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</si>
  <si>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</si>
  <si>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</si>
  <si>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</si>
  <si>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</si>
  <si>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</si>
  <si>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</si>
  <si>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</si>
  <si>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</si>
  <si>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</si>
  <si>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</si>
  <si>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</si>
  <si>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</si>
  <si>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</si>
  <si>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</si>
  <si>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</si>
  <si>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</si>
  <si>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</si>
  <si>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</si>
  <si>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</si>
  <si>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</si>
  <si>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</si>
  <si>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</si>
  <si>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</si>
  <si>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</si>
  <si>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</si>
  <si>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</si>
  <si>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</si>
  <si>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</si>
  <si>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</si>
  <si>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</si>
  <si>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</si>
  <si>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</si>
  <si>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</si>
  <si>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</si>
  <si>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</si>
  <si>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</si>
  <si>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</si>
  <si>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</si>
  <si>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</si>
  <si>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</si>
  <si>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</si>
  <si>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</si>
  <si>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</si>
  <si>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</si>
  <si>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</si>
  <si>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</si>
  <si>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</si>
  <si>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</si>
  <si>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</si>
  <si>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</si>
  <si>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</si>
  <si>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</si>
  <si>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</si>
  <si>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</si>
  <si>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</si>
  <si>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</si>
  <si>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</si>
  <si>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</si>
  <si>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</si>
  <si>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</si>
  <si>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</si>
  <si>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</si>
  <si>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</si>
  <si>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</si>
  <si>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</si>
  <si>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</si>
  <si>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</si>
  <si>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</si>
  <si>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</si>
  <si>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</si>
  <si>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</si>
  <si>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</si>
  <si>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</si>
  <si>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</si>
  <si>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</si>
  <si>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</si>
  <si>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</si>
  <si>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</si>
  <si>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</si>
  <si>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</si>
  <si>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</si>
  <si>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</si>
  <si>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</si>
  <si>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</si>
  <si>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</si>
  <si>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</si>
  <si>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</si>
  <si>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</si>
  <si>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</si>
  <si>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</si>
  <si>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</si>
  <si>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</si>
  <si>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</si>
  <si>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</si>
  <si>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</si>
  <si>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</si>
  <si>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</si>
  <si>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</si>
  <si>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</si>
  <si>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</si>
  <si>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</si>
  <si>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</si>
  <si>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</si>
  <si>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</si>
  <si>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</si>
  <si>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</si>
  <si>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</si>
  <si>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</si>
  <si>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</si>
  <si>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</si>
  <si>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</si>
  <si>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</si>
  <si>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</si>
  <si>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</si>
  <si>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</si>
  <si>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</si>
  <si>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</si>
  <si>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</si>
  <si>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</si>
  <si>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</si>
  <si>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</si>
  <si>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</si>
  <si>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</si>
  <si>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</si>
  <si>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</si>
  <si>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</si>
  <si>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</si>
  <si>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</si>
  <si>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</si>
  <si>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</si>
  <si>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</si>
  <si>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</si>
  <si>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</si>
  <si>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</si>
  <si>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</si>
  <si>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</si>
  <si>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</si>
  <si>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</si>
  <si>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</si>
  <si>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</si>
  <si>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</si>
  <si>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</si>
  <si>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</si>
  <si>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</si>
  <si>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</si>
  <si>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</si>
  <si>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</si>
  <si>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</si>
  <si>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</si>
  <si>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</si>
  <si>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</si>
  <si>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</si>
  <si>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</si>
  <si>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</si>
  <si>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</si>
  <si>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</si>
  <si>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</si>
  <si>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</si>
  <si>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</si>
  <si>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</si>
  <si>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</si>
  <si>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</si>
  <si>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</si>
  <si>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</si>
  <si>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</si>
  <si>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</si>
  <si>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</si>
  <si>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</si>
  <si>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</si>
  <si>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</si>
  <si>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</si>
  <si>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</si>
  <si>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</si>
  <si>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</si>
  <si>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</si>
  <si>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</si>
  <si>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</si>
  <si>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</si>
  <si>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</si>
  <si>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</si>
  <si>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</si>
  <si>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</si>
  <si>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</si>
  <si>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</si>
  <si>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</si>
  <si>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</si>
  <si>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</si>
  <si>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</si>
  <si>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</si>
  <si>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</si>
  <si>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</si>
  <si>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</si>
  <si>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</si>
  <si>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</si>
  <si>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</si>
  <si>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</si>
  <si>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</si>
  <si>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</si>
  <si>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</si>
  <si>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</si>
  <si>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</si>
  <si>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</si>
  <si>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</si>
  <si>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</si>
  <si>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</si>
  <si>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</si>
  <si>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</si>
  <si>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</si>
  <si>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</si>
  <si>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</si>
  <si>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</si>
  <si>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</si>
  <si>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</si>
  <si>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</si>
  <si>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</si>
  <si>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</si>
  <si>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</si>
  <si>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</si>
  <si>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</si>
  <si>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</si>
  <si>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</si>
  <si>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</si>
  <si>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</si>
  <si>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</si>
  <si>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</si>
  <si>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</si>
  <si>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</si>
  <si>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</si>
  <si>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</si>
  <si>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</si>
  <si>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</si>
  <si>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</si>
  <si>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</si>
  <si>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</si>
  <si>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</si>
  <si>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</si>
  <si>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</si>
  <si>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</si>
  <si>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</si>
  <si>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</si>
  <si>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</si>
  <si>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</si>
  <si>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</si>
  <si>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</si>
  <si>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</si>
  <si>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</si>
  <si>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</si>
  <si>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</si>
  <si>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</si>
  <si>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</si>
  <si>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</si>
  <si>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</si>
  <si>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</si>
  <si>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</si>
  <si>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</si>
  <si>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</si>
  <si>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</si>
  <si>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</si>
  <si>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</si>
  <si>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</si>
  <si>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</si>
  <si>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</si>
  <si>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</si>
  <si>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</si>
  <si>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</si>
  <si>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</si>
  <si>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</si>
  <si>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</si>
  <si>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</si>
  <si>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</si>
  <si>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</si>
  <si>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</si>
  <si>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</si>
  <si>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</si>
  <si>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</si>
  <si>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</si>
  <si>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</si>
  <si>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</si>
  <si>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</si>
  <si>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</si>
  <si>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</si>
  <si>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</si>
  <si>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</si>
  <si>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</si>
  <si>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</si>
  <si>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</si>
  <si>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</si>
  <si>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</si>
  <si>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</si>
  <si>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</si>
  <si>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</si>
  <si>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</si>
  <si>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</si>
  <si>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</si>
  <si>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</si>
  <si>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</si>
  <si>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</si>
  <si>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</si>
  <si>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</si>
  <si>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</si>
  <si>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</si>
  <si>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</si>
  <si>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</si>
  <si>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</si>
  <si>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</si>
  <si>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</si>
  <si>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</si>
  <si>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</si>
  <si>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</si>
  <si>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</si>
  <si>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</si>
  <si>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</si>
  <si>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</si>
  <si>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</si>
  <si>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</si>
  <si>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</si>
  <si>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</si>
  <si>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</si>
  <si>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</si>
  <si>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</si>
  <si>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</si>
  <si>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</si>
  <si>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</si>
  <si>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</si>
  <si>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</si>
  <si>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</si>
  <si>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</si>
  <si>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</si>
  <si>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</si>
  <si>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</si>
  <si>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</si>
  <si>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</si>
  <si>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</si>
  <si>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</si>
  <si>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</si>
  <si>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</si>
  <si>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</si>
  <si>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</si>
  <si>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</si>
  <si>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</si>
  <si>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</si>
  <si>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</si>
  <si>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</si>
  <si>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</si>
  <si>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</si>
  <si>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</si>
  <si>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</si>
  <si>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</si>
  <si>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</si>
  <si>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</si>
  <si>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</si>
  <si>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</si>
  <si>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</si>
  <si>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</si>
  <si>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</si>
  <si>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</si>
  <si>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</si>
  <si>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</si>
  <si>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</si>
  <si>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</si>
  <si>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</si>
  <si>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</si>
  <si>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</si>
  <si>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</si>
  <si>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</si>
  <si>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</si>
  <si>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</si>
  <si>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</si>
  <si>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</si>
  <si>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</si>
  <si>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</si>
  <si>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</si>
  <si>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</si>
  <si>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</si>
  <si>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</si>
  <si>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</si>
  <si>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</si>
  <si>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</si>
  <si>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</si>
  <si>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</si>
  <si>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</si>
  <si>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</si>
  <si>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</si>
  <si>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</si>
  <si>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</si>
  <si>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</si>
  <si>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</si>
  <si>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</si>
  <si>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</si>
  <si>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</si>
  <si>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</si>
  <si>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</si>
  <si>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</si>
  <si>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</si>
  <si>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</si>
  <si>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</si>
  <si>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</si>
  <si>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</si>
  <si>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</si>
  <si>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</si>
  <si>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</si>
  <si>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</si>
  <si>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</si>
  <si>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</si>
  <si>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</si>
  <si>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</si>
  <si>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</si>
  <si>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</si>
  <si>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</si>
  <si>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</si>
  <si>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</si>
  <si>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</si>
  <si>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</si>
  <si>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</si>
  <si>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</si>
  <si>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</si>
  <si>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</si>
  <si>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</si>
  <si>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</si>
  <si>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</si>
  <si>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</si>
  <si>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</si>
  <si>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</si>
  <si>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</si>
  <si>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</si>
  <si>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</si>
  <si>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</si>
  <si>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</si>
  <si>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</si>
  <si>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</si>
  <si>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</si>
  <si>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</si>
  <si>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</si>
  <si>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</si>
  <si>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</si>
  <si>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</si>
  <si>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</si>
  <si>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</si>
  <si>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</si>
  <si>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</si>
  <si>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</si>
  <si>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</si>
  <si>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</si>
  <si>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</si>
  <si>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</si>
  <si>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</si>
  <si>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</si>
  <si>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</si>
  <si>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</si>
  <si>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</si>
  <si>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</si>
  <si>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</si>
  <si>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</si>
  <si>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</si>
  <si>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</si>
  <si>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</si>
  <si>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</si>
  <si>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</si>
  <si>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</si>
  <si>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</si>
  <si>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</si>
  <si>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</si>
  <si>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</si>
  <si>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</si>
  <si>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</si>
  <si>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</si>
  <si>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</si>
  <si>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</si>
  <si>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</si>
  <si>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</si>
  <si>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</si>
  <si>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</si>
  <si>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</si>
  <si>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</si>
  <si>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</si>
  <si>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</si>
  <si>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</si>
  <si>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</si>
  <si>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</si>
  <si>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</si>
  <si>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</si>
  <si>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</si>
  <si>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</si>
  <si>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</si>
  <si>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</si>
  <si>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</si>
  <si>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</si>
  <si>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</si>
  <si>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</si>
  <si>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</si>
  <si>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</si>
  <si>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</si>
  <si>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</si>
  <si>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</si>
  <si>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</si>
  <si>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</si>
  <si>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</si>
  <si>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</si>
  <si>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</si>
  <si>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</si>
  <si>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</si>
  <si>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</si>
  <si>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</si>
  <si>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</si>
  <si>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</si>
  <si>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</si>
  <si>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</si>
  <si>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</si>
  <si>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</si>
  <si>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</si>
  <si>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</si>
  <si>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</si>
  <si>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</si>
  <si>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</si>
  <si>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</si>
  <si>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</si>
  <si>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</si>
  <si>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</si>
  <si>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</si>
  <si>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</si>
  <si>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</si>
  <si>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</si>
  <si>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</si>
  <si>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</si>
  <si>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</si>
  <si>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</si>
  <si>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</si>
  <si>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</si>
  <si>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</si>
  <si>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</si>
  <si>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</si>
  <si>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</si>
  <si>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</si>
  <si>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</si>
  <si>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</si>
  <si>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</si>
  <si>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</si>
  <si>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</si>
  <si>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</si>
  <si>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</si>
  <si>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</si>
  <si>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</si>
  <si>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</si>
  <si>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</si>
  <si>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</si>
  <si>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</si>
  <si>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</si>
  <si>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</si>
  <si>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</si>
  <si>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</si>
  <si>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</si>
  <si>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</si>
  <si>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</si>
  <si>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</si>
  <si>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</si>
  <si>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</si>
  <si>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</si>
  <si>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</si>
  <si>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</si>
  <si>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</si>
  <si>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</si>
  <si>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</si>
  <si>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</si>
  <si>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</si>
  <si>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</si>
  <si>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</si>
  <si>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</si>
  <si>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</si>
  <si>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COMUNIDAD VALENCIANA</t>
  </si>
  <si>
    <t>Provincias</t>
  </si>
  <si>
    <t>VALENCIA</t>
  </si>
  <si>
    <t>Resumenes por Partidos Judiciales</t>
  </si>
  <si>
    <t>TORRENT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</si>
</sst>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AexeFUY2HahuaV1NW4RfrCpYoGEHiziSSGeQ5RqYCgWITMaItw/dgY+7S2FT7/VInYrkKx4FXf1MjDyEWaewhg==" saltValue="Jle1zoNxWo9WQbIZHqvB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24.48170731707317</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106</v>
      </c>
      <c r="D10" s="225">
        <f>IF(ISNUMBER(Datos!I10),Datos!I10," - ")</f>
        <v>106</v>
      </c>
      <c r="E10" s="226">
        <f>IF(ISNUMBER(Datos!J10),Datos!J10," - ")</f>
        <v>66</v>
      </c>
      <c r="F10" s="226">
        <f>IF(ISNUMBER(Datos!K10),Datos!K10," - ")</f>
        <v>69</v>
      </c>
      <c r="G10" s="1034" t="str">
        <f>IF(Datos!E10&lt;&gt;"",Datos!E10,Datos!D10)</f>
        <v>37</v>
      </c>
      <c r="H10" s="227">
        <f>IF(ISNUMBER(Datos!L10),Datos!L10," - ")</f>
        <v>103</v>
      </c>
      <c r="I10" s="1044" t="str">
        <f>IF(ISNUMBER(Datos!AS10/Datos!BM10),Datos!AS10/Datos!BM10," - ")</f>
        <v xml:space="preserve"> - </v>
      </c>
      <c r="J10" s="1045">
        <f>IF(ISNUMBER(Datos!BY10/Datos!CN10),Datos!BY10/Datos!CN10," - ")</f>
        <v>0</v>
      </c>
      <c r="K10" s="230">
        <f t="shared" ref="K10:K12" si="1">IF(ISNUMBER((E10-F10)/C10),(E10-F10)/C10," - ")</f>
        <v>-2.8301886792452831E-2</v>
      </c>
      <c r="L10" s="1025">
        <f>IF(ISNUMBER(NºAsuntos!I10/NºAsuntos!G10),(NºAsuntos!I10/NºAsuntos!G10)*11," - ")</f>
        <v>16.420289855072465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106</v>
      </c>
      <c r="D13" s="1049">
        <f>SUBTOTAL(9,D9:D12)</f>
        <v>106</v>
      </c>
      <c r="E13" s="1050">
        <f>SUBTOTAL(9,E9:E12)</f>
        <v>66</v>
      </c>
      <c r="F13" s="1051">
        <f>SUBTOTAL(9,F9:F12)</f>
        <v>69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3</v>
      </c>
      <c r="B15" s="502" t="str">
        <f>Datos!A15</f>
        <v xml:space="preserve">Jdos. Instrucción                               </v>
      </c>
      <c r="C15" s="225">
        <f t="shared" ref="C15:C17" si="2">IF(ISNUMBER(H15-E15+F15),H15-E15+F15," - ")</f>
        <v>2534</v>
      </c>
      <c r="D15" s="225">
        <f>IF(ISNUMBER(IF(D_I="SI",Datos!I15,Datos!I15+Datos!AC15)),IF(D_I="SI",Datos!I15,Datos!I15+Datos!AC15)," - ")</f>
        <v>2425</v>
      </c>
      <c r="E15" s="226">
        <f>IF(ISNUMBER(IF(D_I="SI",Datos!J15,Datos!J15+Datos!AD15)),IF(D_I="SI",Datos!J15,Datos!J15+Datos!AD15)," - ")</f>
        <v>2089</v>
      </c>
      <c r="F15" s="226">
        <f>IF(ISNUMBER(IF(D_I="SI",Datos!K15,Datos!K15+Datos!AE15)),IF(D_I="SI",Datos!K15,Datos!K15+Datos!AE15)," - ")</f>
        <v>1943</v>
      </c>
      <c r="G15" s="1034" t="str">
        <f>IF(Datos!E15&lt;&gt;"",Datos!E15,Datos!D15)</f>
        <v>03</v>
      </c>
      <c r="H15" s="227">
        <f>IF(ISNUMBER(IF(D_I="SI",Datos!L15,Datos!L15+Datos!AF15)),IF(D_I="SI",Datos!L15,Datos!L15+Datos!AF15)," - ")</f>
        <v>2680</v>
      </c>
      <c r="I15" s="1044" t="str">
        <f>IF(ISNUMBER(Datos!AS15/Datos!BM15),Datos!AS15/Datos!BM15," - ")</f>
        <v xml:space="preserve"> - </v>
      </c>
      <c r="J15" s="1045">
        <f>IF(ISNUMBER(Datos!BY15/Datos!CN15),Datos!BY15/Datos!CN15," - ")</f>
        <v>0</v>
      </c>
      <c r="K15" s="230">
        <f t="shared" ref="K15:K17" si="3">IF(ISNUMBER((E15-F15)/C15),(E15-F15)/C15," - ")</f>
        <v>5.7616416732438828E-2</v>
      </c>
      <c r="L15" s="1025">
        <f>IF(ISNUMBER(NºAsuntos!I15/NºAsuntos!G15),(NºAsuntos!I15/NºAsuntos!G15)*11," - ")</f>
        <v>15.172413793103448</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399</v>
      </c>
      <c r="D17" s="225">
        <f>IF(ISNUMBER(IF(D_I="SI",Datos!I17,Datos!I17+Datos!AC17)),IF(D_I="SI",Datos!I17,Datos!I17+Datos!AC17)," - ")</f>
        <v>399</v>
      </c>
      <c r="E17" s="226">
        <f>IF(ISNUMBER(IF(D_I="SI",Datos!J17,Datos!J17+Datos!AD17)),IF(D_I="SI",Datos!J17,Datos!J17+Datos!AD17)," - ")</f>
        <v>451</v>
      </c>
      <c r="F17" s="226">
        <f>IF(ISNUMBER(IF(D_I="SI",Datos!K17,Datos!K17+Datos!AE17)),IF(D_I="SI",Datos!K17,Datos!K17+Datos!AE17)," - ")</f>
        <v>498</v>
      </c>
      <c r="G17" s="1034" t="str">
        <f>IF(Datos!E17&lt;&gt;"",Datos!E17,Datos!D17)</f>
        <v>37</v>
      </c>
      <c r="H17" s="227">
        <f>IF(ISNUMBER(IF(D_I="SI",Datos!L17,Datos!L17+Datos!AF17)),IF(D_I="SI",Datos!L17,Datos!L17+Datos!AF17)," - ")</f>
        <v>352</v>
      </c>
      <c r="I17" s="1044" t="str">
        <f>IF(ISNUMBER(Datos!AS17/Datos!BM17),Datos!AS17/Datos!BM17," - ")</f>
        <v xml:space="preserve"> - </v>
      </c>
      <c r="J17" s="1045" t="str">
        <f>IF(ISNUMBER((Datos!BY17+Datos!BZ17)/Datos!CN17),(Datos!BY17+Datos!BZ17)/Datos!CN17," - ")</f>
        <v xml:space="preserve"> - </v>
      </c>
      <c r="K17" s="230">
        <f t="shared" si="3"/>
        <v>-0.11779448621553884</v>
      </c>
      <c r="L17" s="1025">
        <f>IF(ISNUMBER(NºAsuntos!I17/NºAsuntos!G17),(NºAsuntos!I17/NºAsuntos!G17)*11," - ")</f>
        <v>7.7751004016064256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2933</v>
      </c>
      <c r="D18" s="1049">
        <f>SUBTOTAL(9,D15:D17)</f>
        <v>2824</v>
      </c>
      <c r="E18" s="1050">
        <f>SUBTOTAL(9,E15:E17)</f>
        <v>2540</v>
      </c>
      <c r="F18" s="1050">
        <f>SUBTOTAL(9,F15:F17)</f>
        <v>2441</v>
      </c>
      <c r="G18" s="1052" t="str">
        <f ca="1">INDIRECT(CONCATENATE("G",ROW()-1))</f>
        <v>37</v>
      </c>
      <c r="H18" s="1053">
        <f ca="1">SUMIF(G$14:G17,G18,H$14:H17)</f>
        <v>352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3039</v>
      </c>
      <c r="D19" s="1071">
        <f>SUBTOTAL(9,D9:D18)</f>
        <v>2930</v>
      </c>
      <c r="E19" s="1072">
        <f>SUBTOTAL(9,E9:E18)</f>
        <v>2606</v>
      </c>
      <c r="F19" s="1072">
        <f>SUBTOTAL(9,F9:F18)</f>
        <v>2510</v>
      </c>
      <c r="G19" s="1073"/>
      <c r="H19" s="1074">
        <f ca="1">SUMIF(B9:B18,"TOTAL",H9:H18)</f>
        <v>352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lPzZpiHMcOS8oBkhCkG8T/ZemdrotBDgDMyllHEeAIwNPxoV+Dr2WlfZa7zYzaWh9b0ObN71OtxmpyJu5w8mnA==" saltValue="e5V//+ETMO5tukzAYYwCS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i9JFB1mZ7GNcQ5Ys2SJdOloBrMMCtNPJ3X2Lv1piAhDunJ64vqqzal2MIAEmW4MZ2ofZY9Wp4MdnQ+FGwk94fw==" saltValue="3JpYW743w/JnLvXt1TW1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v>5853</v>
      </c>
      <c r="J9" s="181">
        <v>2665</v>
      </c>
      <c r="K9" s="181">
        <v>2543</v>
      </c>
      <c r="L9" s="181">
        <v>5980</v>
      </c>
      <c r="M9" s="181">
        <v>599</v>
      </c>
      <c r="N9" s="181">
        <v>1262</v>
      </c>
      <c r="O9" s="181">
        <v>1301</v>
      </c>
      <c r="P9" s="181">
        <v>606</v>
      </c>
      <c r="Q9" s="181">
        <v>491</v>
      </c>
      <c r="R9" s="181">
        <v>10694</v>
      </c>
      <c r="S9" s="181">
        <v>4945</v>
      </c>
      <c r="T9" s="181">
        <v>3168</v>
      </c>
      <c r="U9" s="181">
        <v>2640</v>
      </c>
      <c r="V9" s="181">
        <v>5473</v>
      </c>
      <c r="W9" s="181">
        <v>630</v>
      </c>
      <c r="X9" s="188">
        <v>1238</v>
      </c>
      <c r="Y9" s="191">
        <v>268</v>
      </c>
      <c r="Z9" s="181">
        <v>202</v>
      </c>
      <c r="AA9" s="181">
        <v>245</v>
      </c>
      <c r="AB9" s="181">
        <v>225</v>
      </c>
      <c r="AC9" s="181">
        <v>0</v>
      </c>
      <c r="AD9" s="181">
        <v>0</v>
      </c>
      <c r="AE9" s="181">
        <v>0</v>
      </c>
      <c r="AF9" s="188">
        <v>0</v>
      </c>
      <c r="AG9" s="191">
        <v>272</v>
      </c>
      <c r="AH9" s="181">
        <v>236</v>
      </c>
      <c r="AI9" s="181">
        <v>254</v>
      </c>
      <c r="AJ9" s="192">
        <v>254</v>
      </c>
      <c r="AK9" s="180">
        <v>0</v>
      </c>
      <c r="AL9" s="181">
        <v>0</v>
      </c>
      <c r="AM9" s="181">
        <v>0</v>
      </c>
      <c r="AN9" s="188">
        <v>0</v>
      </c>
      <c r="AO9" s="258">
        <v>6</v>
      </c>
      <c r="AP9" s="154">
        <v>6</v>
      </c>
      <c r="AQ9" s="154">
        <v>6</v>
      </c>
      <c r="AR9" s="193">
        <v>6</v>
      </c>
      <c r="AS9" s="338" t="s">
        <v>798</v>
      </c>
      <c r="AT9" s="195"/>
      <c r="AU9" s="194"/>
      <c r="AV9" s="195"/>
      <c r="AW9" s="194"/>
      <c r="AX9" s="195"/>
      <c r="AY9" s="123">
        <f>IF(ISNUMBER(IF(J_V="SI",S9,S9+AG9)),IF(J_V="SI",S9,S9+AG9)," - ")</f>
        <v>5217</v>
      </c>
      <c r="AZ9" s="123">
        <f>IF(ISNUMBER(IF(J_V="SI",T9,T9+AH9)),IF(J_V="SI",T9,T9+AH9)," - ")</f>
        <v>3404</v>
      </c>
      <c r="BA9" s="124">
        <f>IF(ISNUMBER(IF(J_V="SI",U9,U9+AI9)),IF(J_V="SI",U9,U9+AI9)," - ")</f>
        <v>2894</v>
      </c>
      <c r="BB9" s="124">
        <f>IF(ISNUMBER(IF(J_V="SI",V9,V9+AJ9)),IF(J_V="SI",V9,V9+AJ9)," - ")</f>
        <v>5727</v>
      </c>
      <c r="BC9" s="125">
        <f>IF(ISNUMBER(X9),X9," - ")</f>
        <v>1238</v>
      </c>
      <c r="BD9" s="126">
        <f>IF(ISNUMBER(BA9/AZ9),BA9/AZ9," - ")</f>
        <v>0.85017626321974149</v>
      </c>
      <c r="BE9" s="127">
        <f>IF(ISNUMBER(BB9/BA9),BB9/BA9, " - ")</f>
        <v>1.9789219073946096</v>
      </c>
      <c r="BF9" s="127">
        <f>IF(ISNUMBER(BC9/BA9),BC9/BA9, " - ")</f>
        <v>0.42778161713890811</v>
      </c>
      <c r="BG9" s="196">
        <f>IF(ISNUMBER((AY9+AZ9)/BA9),(AY9+AZ9)/BA9," - ")</f>
        <v>2.9789219073946094</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106</v>
      </c>
      <c r="J10" s="181">
        <v>66</v>
      </c>
      <c r="K10" s="181">
        <v>69</v>
      </c>
      <c r="L10" s="181">
        <v>103</v>
      </c>
      <c r="M10" s="181">
        <v>30</v>
      </c>
      <c r="N10" s="181">
        <v>26</v>
      </c>
      <c r="O10" s="181">
        <v>22</v>
      </c>
      <c r="P10" s="181">
        <v>17</v>
      </c>
      <c r="Q10" s="181">
        <v>10</v>
      </c>
      <c r="R10" s="181">
        <v>74</v>
      </c>
      <c r="S10" s="181">
        <v>106</v>
      </c>
      <c r="T10" s="181">
        <v>101</v>
      </c>
      <c r="U10" s="181">
        <v>88</v>
      </c>
      <c r="V10" s="181">
        <v>119</v>
      </c>
      <c r="W10" s="181">
        <v>22</v>
      </c>
      <c r="X10" s="188">
        <v>37</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792</v>
      </c>
      <c r="AT10" s="192"/>
      <c r="AU10" s="200"/>
      <c r="AV10" s="192"/>
      <c r="AW10" s="200"/>
      <c r="AX10" s="192"/>
      <c r="AY10" s="128">
        <f t="shared" ref="AY10:BC10" si="0">IF(ISNUMBER(S10),S10," - ")</f>
        <v>106</v>
      </c>
      <c r="AZ10" s="129">
        <f t="shared" si="0"/>
        <v>101</v>
      </c>
      <c r="BA10" s="129">
        <f t="shared" si="0"/>
        <v>88</v>
      </c>
      <c r="BB10" s="129">
        <f t="shared" si="0"/>
        <v>119</v>
      </c>
      <c r="BC10" s="125">
        <f t="shared" si="0"/>
        <v>22</v>
      </c>
      <c r="BD10" s="126">
        <f>IF(ISNUMBER(BA10/AZ10),BA10/AZ10," - ")</f>
        <v>0.87128712871287128</v>
      </c>
      <c r="BE10" s="127">
        <f>IF(ISNUMBER(BB10/BA10),BB10/BA10, " - ")</f>
        <v>1.3522727272727273</v>
      </c>
      <c r="BF10" s="127">
        <f>IF(ISNUMBER(BC10/BA10),BC10/BA10, " - ")</f>
        <v>0.25</v>
      </c>
      <c r="BG10" s="196">
        <f>IF(ISNUMBER((AY10+AZ10)/BA10),(AY10+AZ10)/BA10," - ")</f>
        <v>2.3522727272727271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805</v>
      </c>
      <c r="J12" s="183" t="s">
        <v>799</v>
      </c>
      <c r="K12" s="183" t="s">
        <v>848</v>
      </c>
      <c r="L12" s="183" t="s">
        <v>810</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801</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5959</v>
      </c>
      <c r="J13" s="184">
        <f t="shared" si="6"/>
        <v>2731</v>
      </c>
      <c r="K13" s="184">
        <f t="shared" si="6"/>
        <v>2612</v>
      </c>
      <c r="L13" s="184">
        <f t="shared" si="6"/>
        <v>6083</v>
      </c>
      <c r="M13" s="184">
        <f t="shared" si="6"/>
        <v>629</v>
      </c>
      <c r="N13" s="184">
        <f t="shared" si="6"/>
        <v>1288</v>
      </c>
      <c r="O13" s="184">
        <f t="shared" si="6"/>
        <v>1323</v>
      </c>
      <c r="P13" s="184">
        <f t="shared" si="6"/>
        <v>623</v>
      </c>
      <c r="Q13" s="184">
        <f t="shared" si="6"/>
        <v>501</v>
      </c>
      <c r="R13" s="184">
        <f t="shared" si="6"/>
        <v>10768</v>
      </c>
      <c r="S13" s="184">
        <f t="shared" si="6"/>
        <v>5051</v>
      </c>
      <c r="T13" s="184">
        <f t="shared" si="6"/>
        <v>3269</v>
      </c>
      <c r="U13" s="184">
        <f t="shared" si="6"/>
        <v>2728</v>
      </c>
      <c r="V13" s="184">
        <f t="shared" si="6"/>
        <v>5592</v>
      </c>
      <c r="W13" s="184">
        <f t="shared" si="6"/>
        <v>652</v>
      </c>
      <c r="X13" s="184">
        <f t="shared" si="6"/>
        <v>1275</v>
      </c>
      <c r="Y13" s="184">
        <f t="shared" si="6"/>
        <v>268</v>
      </c>
      <c r="Z13" s="184">
        <f t="shared" si="6"/>
        <v>202</v>
      </c>
      <c r="AA13" s="184">
        <f t="shared" si="6"/>
        <v>245</v>
      </c>
      <c r="AB13" s="184">
        <f t="shared" si="6"/>
        <v>225</v>
      </c>
      <c r="AC13" s="184">
        <f t="shared" si="6"/>
        <v>0</v>
      </c>
      <c r="AD13" s="184">
        <f t="shared" si="6"/>
        <v>0</v>
      </c>
      <c r="AE13" s="184">
        <f t="shared" si="6"/>
        <v>0</v>
      </c>
      <c r="AF13" s="184">
        <f>SUBTOTAL(9,AF9:AF12)</f>
        <v>0</v>
      </c>
      <c r="AG13" s="184">
        <f t="shared" ref="AG13:AT13" si="7">SUBTOTAL(9,AG8:AG12)</f>
        <v>272</v>
      </c>
      <c r="AH13" s="184">
        <f t="shared" si="7"/>
        <v>236</v>
      </c>
      <c r="AI13" s="184">
        <f t="shared" si="7"/>
        <v>254</v>
      </c>
      <c r="AJ13" s="184">
        <f t="shared" si="7"/>
        <v>254</v>
      </c>
      <c r="AK13" s="184">
        <f t="shared" si="7"/>
        <v>0</v>
      </c>
      <c r="AL13" s="184">
        <f t="shared" si="7"/>
        <v>0</v>
      </c>
      <c r="AM13" s="184">
        <f t="shared" si="7"/>
        <v>0</v>
      </c>
      <c r="AN13" s="184">
        <f t="shared" si="7"/>
        <v>0</v>
      </c>
      <c r="AO13" s="184">
        <f t="shared" si="7"/>
        <v>7</v>
      </c>
      <c r="AP13" s="184">
        <f t="shared" si="7"/>
        <v>7</v>
      </c>
      <c r="AQ13" s="184">
        <f t="shared" si="7"/>
        <v>7</v>
      </c>
      <c r="AR13" s="184">
        <f t="shared" si="7"/>
        <v>7</v>
      </c>
      <c r="AS13" s="184">
        <f t="shared" si="7"/>
        <v>0</v>
      </c>
      <c r="AT13" s="184">
        <f t="shared" si="7"/>
        <v>0</v>
      </c>
      <c r="AU13" s="204"/>
      <c r="AV13" s="132"/>
      <c r="AW13" s="204"/>
      <c r="AX13" s="132"/>
      <c r="AY13" s="184">
        <f>SUBTOTAL(9,AY8:AY12)</f>
        <v>5323</v>
      </c>
      <c r="AZ13" s="184">
        <f>SUBTOTAL(9,AZ8:AZ12)</f>
        <v>3505</v>
      </c>
      <c r="BA13" s="184">
        <f>SUBTOTAL(9,BA8:BA12)</f>
        <v>2982</v>
      </c>
      <c r="BB13" s="184">
        <f>SUBTOTAL(9,BB8:BB12)</f>
        <v>5846</v>
      </c>
      <c r="BC13" s="184">
        <f>SUBTOTAL(9,BC8:BC12)</f>
        <v>1260</v>
      </c>
      <c r="BD13" s="205">
        <f>IF(ISNUMBER(BA13/AZ13),BA13/AZ13," - ")</f>
        <v>0.85078459343794577</v>
      </c>
      <c r="BE13" s="206">
        <f>IF(ISNUMBER(BB13/BA13),BB13/BA13, " - ")</f>
        <v>1.960429242119383</v>
      </c>
      <c r="BF13" s="206">
        <f>IF(ISNUMBER(BC13/BA13),BC13/BA13, " - ")</f>
        <v>0.42253521126760563</v>
      </c>
      <c r="BG13" s="207">
        <f>IF(ISNUMBER((AY13+AZ13)/BA13),(AY13+AZ13)/BA13," - ")</f>
        <v>2.9604292421193832</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2425</v>
      </c>
      <c r="J15" s="183">
        <v>2089</v>
      </c>
      <c r="K15" s="183">
        <v>1943</v>
      </c>
      <c r="L15" s="183">
        <v>2680</v>
      </c>
      <c r="M15" s="183">
        <v>349</v>
      </c>
      <c r="N15" s="183">
        <v>952</v>
      </c>
      <c r="O15" s="181">
        <v>107</v>
      </c>
      <c r="P15" s="183">
        <v>101</v>
      </c>
      <c r="Q15" s="183">
        <v>178</v>
      </c>
      <c r="R15" s="183">
        <v>488</v>
      </c>
      <c r="S15" s="183">
        <v>2248</v>
      </c>
      <c r="T15" s="183">
        <v>2257</v>
      </c>
      <c r="U15" s="183">
        <v>2270</v>
      </c>
      <c r="V15" s="183">
        <v>2235</v>
      </c>
      <c r="W15" s="183">
        <v>493</v>
      </c>
      <c r="X15" s="189">
        <v>936</v>
      </c>
      <c r="Y15" s="202">
        <v>0</v>
      </c>
      <c r="Z15" s="183">
        <v>0</v>
      </c>
      <c r="AA15" s="183">
        <v>0</v>
      </c>
      <c r="AB15" s="183">
        <v>0</v>
      </c>
      <c r="AC15" s="183">
        <v>0</v>
      </c>
      <c r="AD15" s="183">
        <v>0</v>
      </c>
      <c r="AE15" s="183">
        <v>0</v>
      </c>
      <c r="AF15" s="189">
        <v>0</v>
      </c>
      <c r="AG15" s="202">
        <v>0</v>
      </c>
      <c r="AH15" s="183">
        <v>0</v>
      </c>
      <c r="AI15" s="183">
        <v>0</v>
      </c>
      <c r="AJ15" s="203">
        <v>0</v>
      </c>
      <c r="AK15" s="182">
        <v>0</v>
      </c>
      <c r="AL15" s="183">
        <v>0</v>
      </c>
      <c r="AM15" s="183">
        <v>0</v>
      </c>
      <c r="AN15" s="189">
        <v>0</v>
      </c>
      <c r="AO15" s="259">
        <v>3</v>
      </c>
      <c r="AP15" s="155">
        <v>3</v>
      </c>
      <c r="AQ15" s="155">
        <v>3</v>
      </c>
      <c r="AR15" s="155">
        <v>3</v>
      </c>
      <c r="AS15" s="340" t="s">
        <v>526</v>
      </c>
      <c r="AT15" s="203" t="s">
        <v>326</v>
      </c>
      <c r="AU15" s="202"/>
      <c r="AV15" s="203"/>
      <c r="AW15" s="202"/>
      <c r="AX15" s="203"/>
      <c r="AY15" s="128">
        <f t="shared" ref="AY15:BB16" si="9">IF(ISNUMBER(IF(D_I="SI",S15,S15+AK15)),IF(D_I="SI",S15,S15+AK15)," - ")</f>
        <v>2248</v>
      </c>
      <c r="AZ15" s="129">
        <f t="shared" si="9"/>
        <v>2257</v>
      </c>
      <c r="BA15" s="129">
        <f t="shared" si="9"/>
        <v>2270</v>
      </c>
      <c r="BB15" s="129">
        <f t="shared" si="9"/>
        <v>2235</v>
      </c>
      <c r="BC15" s="125">
        <f>IF(ISNUMBER(W15),W15," - ")</f>
        <v>493</v>
      </c>
      <c r="BD15" s="126">
        <f>IF(ISNUMBER(BA15/AZ15),BA15/AZ15," - ")</f>
        <v>1.0057598582188747</v>
      </c>
      <c r="BE15" s="127">
        <f>IF(ISNUMBER(BB15/BA15),BB15/BA15, " - ")</f>
        <v>0.98458149779735682</v>
      </c>
      <c r="BF15" s="127">
        <f>IF(ISNUMBER(BC15/BA15),BC15/BA15, " - ")</f>
        <v>0.21718061674008809</v>
      </c>
      <c r="BG15" s="196">
        <f t="shared" ref="BG15:BG16" si="10">IF(ISNUMBER((AY15+AZ15)/BA15),(AY15+AZ15)/BA15," - ")</f>
        <v>1.9845814977973568</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399</v>
      </c>
      <c r="J17" s="183">
        <v>451</v>
      </c>
      <c r="K17" s="183">
        <v>498</v>
      </c>
      <c r="L17" s="183">
        <v>352</v>
      </c>
      <c r="M17" s="183">
        <v>62</v>
      </c>
      <c r="N17" s="183">
        <v>260</v>
      </c>
      <c r="O17" s="183">
        <v>16</v>
      </c>
      <c r="P17" s="183">
        <v>15</v>
      </c>
      <c r="Q17" s="183">
        <v>18</v>
      </c>
      <c r="R17" s="183">
        <v>22</v>
      </c>
      <c r="S17" s="183">
        <v>398</v>
      </c>
      <c r="T17" s="183">
        <v>373</v>
      </c>
      <c r="U17" s="183">
        <v>310</v>
      </c>
      <c r="V17" s="183">
        <v>464</v>
      </c>
      <c r="W17" s="183">
        <v>70</v>
      </c>
      <c r="X17" s="189">
        <v>130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791</v>
      </c>
      <c r="AT17" s="209"/>
      <c r="AU17" s="200"/>
      <c r="AV17" s="209"/>
      <c r="AW17" s="200"/>
      <c r="AX17" s="209"/>
      <c r="AY17" s="128">
        <f t="shared" ref="AY17:BB17" si="14">IF(ISNUMBER(S17),S17," - ")</f>
        <v>398</v>
      </c>
      <c r="AZ17" s="129">
        <f t="shared" si="14"/>
        <v>373</v>
      </c>
      <c r="BA17" s="129">
        <f t="shared" si="14"/>
        <v>310</v>
      </c>
      <c r="BB17" s="129">
        <f t="shared" si="14"/>
        <v>464</v>
      </c>
      <c r="BC17" s="125">
        <f>IF(ISNUMBER(W17),W17," - ")</f>
        <v>70</v>
      </c>
      <c r="BD17" s="126">
        <f>IF(ISNUMBER(BA17/AZ17),BA17/AZ17," - ")</f>
        <v>0.83109919571045576</v>
      </c>
      <c r="BE17" s="127">
        <f>IF(ISNUMBER(BB17/BA17),BB17/BA17, " - ")</f>
        <v>1.4967741935483871</v>
      </c>
      <c r="BF17" s="127">
        <f>IF(ISNUMBER(BC17/BA17),BC17/BA17, " - ")</f>
        <v>0.22580645161290322</v>
      </c>
      <c r="BG17" s="196">
        <f>IF(ISNUMBER((AY17+AZ17)/BA17),(AY17+AZ17)/BA17," - ")</f>
        <v>2.4870967741935486</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2824</v>
      </c>
      <c r="J18" s="184">
        <f t="shared" si="15"/>
        <v>2540</v>
      </c>
      <c r="K18" s="184">
        <f t="shared" si="15"/>
        <v>2441</v>
      </c>
      <c r="L18" s="184">
        <f t="shared" si="15"/>
        <v>3032</v>
      </c>
      <c r="M18" s="184">
        <f t="shared" si="15"/>
        <v>411</v>
      </c>
      <c r="N18" s="184">
        <f t="shared" si="15"/>
        <v>1212</v>
      </c>
      <c r="O18" s="184">
        <f t="shared" si="15"/>
        <v>123</v>
      </c>
      <c r="P18" s="184">
        <f t="shared" si="15"/>
        <v>116</v>
      </c>
      <c r="Q18" s="184">
        <f t="shared" si="15"/>
        <v>196</v>
      </c>
      <c r="R18" s="184">
        <f t="shared" si="15"/>
        <v>510</v>
      </c>
      <c r="S18" s="184">
        <f t="shared" si="15"/>
        <v>2646</v>
      </c>
      <c r="T18" s="184">
        <f t="shared" si="15"/>
        <v>2630</v>
      </c>
      <c r="U18" s="184">
        <f t="shared" si="15"/>
        <v>2580</v>
      </c>
      <c r="V18" s="184">
        <f t="shared" si="15"/>
        <v>2699</v>
      </c>
      <c r="W18" s="184">
        <f t="shared" si="15"/>
        <v>563</v>
      </c>
      <c r="X18" s="184">
        <f t="shared" si="15"/>
        <v>1066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4</v>
      </c>
      <c r="AQ18" s="184">
        <f t="shared" si="15"/>
        <v>4</v>
      </c>
      <c r="AR18" s="184">
        <f t="shared" si="15"/>
        <v>4</v>
      </c>
      <c r="AS18" s="184">
        <f t="shared" si="15"/>
        <v>0</v>
      </c>
      <c r="AT18" s="184">
        <f t="shared" si="15"/>
        <v>0</v>
      </c>
      <c r="AU18" s="204"/>
      <c r="AV18" s="132"/>
      <c r="AW18" s="204"/>
      <c r="AX18" s="132"/>
      <c r="AY18" s="184">
        <f>SUBTOTAL(9,AY14:AY17)</f>
        <v>2646</v>
      </c>
      <c r="AZ18" s="184">
        <f>SUBTOTAL(9,AZ14:AZ17)</f>
        <v>2630</v>
      </c>
      <c r="BA18" s="184">
        <f>SUBTOTAL(9,BA14:BA17)</f>
        <v>2580</v>
      </c>
      <c r="BB18" s="184">
        <f>SUBTOTAL(9,BB14:BB17)</f>
        <v>2699</v>
      </c>
      <c r="BC18" s="184">
        <f>SUBTOTAL(9,BC14:BC17)</f>
        <v>563</v>
      </c>
      <c r="BD18" s="205">
        <f>IF(ISNUMBER(BA18/AZ18),BA18/AZ18," - ")</f>
        <v>0.98098859315589348</v>
      </c>
      <c r="BE18" s="206">
        <f>IF(ISNUMBER(BB18/BA18),BB18/BA18, " - ")</f>
        <v>1.046124031007752</v>
      </c>
      <c r="BF18" s="206">
        <f>IF(ISNUMBER(BC18/BA18),BC18/BA18, " - ")</f>
        <v>0.21821705426356588</v>
      </c>
      <c r="BG18" s="207">
        <f>IF(ISNUMBER((AY18+AZ18)/BA18),(AY18+AZ18)/BA18," - ")</f>
        <v>2.0449612403100774</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8783</v>
      </c>
      <c r="J19" s="134">
        <f t="shared" si="18"/>
        <v>5271</v>
      </c>
      <c r="K19" s="134">
        <f t="shared" si="18"/>
        <v>5053</v>
      </c>
      <c r="L19" s="134">
        <f t="shared" si="18"/>
        <v>9115</v>
      </c>
      <c r="M19" s="134">
        <f t="shared" si="18"/>
        <v>1040</v>
      </c>
      <c r="N19" s="134">
        <f t="shared" si="18"/>
        <v>2500</v>
      </c>
      <c r="O19" s="134">
        <f t="shared" si="18"/>
        <v>1446</v>
      </c>
      <c r="P19" s="134">
        <f t="shared" si="18"/>
        <v>739</v>
      </c>
      <c r="Q19" s="134">
        <f t="shared" si="18"/>
        <v>697</v>
      </c>
      <c r="R19" s="134">
        <f t="shared" si="18"/>
        <v>11278</v>
      </c>
      <c r="S19" s="134">
        <f t="shared" si="18"/>
        <v>7697</v>
      </c>
      <c r="T19" s="134">
        <f t="shared" si="18"/>
        <v>5899</v>
      </c>
      <c r="U19" s="134">
        <f t="shared" si="18"/>
        <v>5308</v>
      </c>
      <c r="V19" s="134">
        <f t="shared" si="18"/>
        <v>8291</v>
      </c>
      <c r="W19" s="134">
        <f t="shared" si="18"/>
        <v>1215</v>
      </c>
      <c r="X19" s="134">
        <f t="shared" si="18"/>
        <v>2341</v>
      </c>
      <c r="Y19" s="134">
        <f t="shared" si="18"/>
        <v>268</v>
      </c>
      <c r="Z19" s="134">
        <f t="shared" si="18"/>
        <v>202</v>
      </c>
      <c r="AA19" s="134">
        <f t="shared" si="18"/>
        <v>245</v>
      </c>
      <c r="AB19" s="134">
        <f t="shared" si="18"/>
        <v>225</v>
      </c>
      <c r="AC19" s="134">
        <f t="shared" si="18"/>
        <v>0</v>
      </c>
      <c r="AD19" s="134">
        <f t="shared" si="18"/>
        <v>0</v>
      </c>
      <c r="AE19" s="134">
        <f t="shared" si="18"/>
        <v>0</v>
      </c>
      <c r="AF19" s="134">
        <f t="shared" si="18"/>
        <v>0</v>
      </c>
      <c r="AG19" s="134">
        <f t="shared" si="18"/>
        <v>272</v>
      </c>
      <c r="AH19" s="134">
        <f t="shared" si="18"/>
        <v>236</v>
      </c>
      <c r="AI19" s="134">
        <f t="shared" si="18"/>
        <v>254</v>
      </c>
      <c r="AJ19" s="134">
        <f t="shared" si="18"/>
        <v>254</v>
      </c>
      <c r="AK19" s="134">
        <f t="shared" si="18"/>
        <v>0</v>
      </c>
      <c r="AL19" s="134">
        <f t="shared" si="18"/>
        <v>0</v>
      </c>
      <c r="AM19" s="134">
        <f t="shared" si="18"/>
        <v>0</v>
      </c>
      <c r="AN19" s="210">
        <f t="shared" si="18"/>
        <v>0</v>
      </c>
      <c r="AO19" s="211">
        <v>10</v>
      </c>
      <c r="AP19" s="211">
        <v>10</v>
      </c>
      <c r="AQ19" s="211">
        <v>10</v>
      </c>
      <c r="AR19" s="211">
        <v>10</v>
      </c>
      <c r="AS19" s="153">
        <f t="shared" si="18"/>
        <v>0</v>
      </c>
      <c r="AT19" s="153">
        <f t="shared" si="18"/>
        <v>0</v>
      </c>
      <c r="AU19" s="211"/>
      <c r="AV19" s="212"/>
      <c r="AW19" s="211"/>
      <c r="AX19" s="212"/>
      <c r="AY19" s="133">
        <f>SUBTOTAL(9,AY9:AY18)</f>
        <v>7969</v>
      </c>
      <c r="AZ19" s="134">
        <f>SUBTOTAL(9,AZ9:AZ18)</f>
        <v>6135</v>
      </c>
      <c r="BA19" s="134">
        <f>SUBTOTAL(9,BA9:BA18)</f>
        <v>5562</v>
      </c>
      <c r="BB19" s="134">
        <f>SUBTOTAL(9,BB9:BB18)</f>
        <v>8545</v>
      </c>
      <c r="BC19" s="135">
        <f>SUBTOTAL(9,BC9:BC18)</f>
        <v>1823</v>
      </c>
      <c r="BD19" s="213">
        <f>IF(ISNUMBER(BA19/AZ19),BA19/AZ19," - ")</f>
        <v>0.90660146699266508</v>
      </c>
      <c r="BE19" s="210">
        <f>IF(ISNUMBER(BB19/BA19),BB19/BA19, " - ")</f>
        <v>1.5363178712693275</v>
      </c>
      <c r="BF19" s="210">
        <f>IF(ISNUMBER(BC19/BA19),BC19/BA19, " - ")</f>
        <v>0.32775979863358506</v>
      </c>
      <c r="BG19" s="135">
        <f>IF(ISNUMBER((AY19+AZ19)/BA19),(AY19+AZ19)/BA19," - ")</f>
        <v>2.5357784969435455</v>
      </c>
      <c r="BH19" s="211">
        <f>SUBTOTAL(9,BH9:BH18)</f>
        <v>11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zk/TbF5X8yxCCI3Ya8BezFD4wchrvpI5m2NflY7mfCg1AiuVYbWBcOh4lEP6X77zWdEk9zHieF69eb62p08wA==" saltValue="tEcOlFoQ8amoNBO5F/GBz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PsCKH169AXGEPrssVSHOogtZe5Elzoy5Pqa52QzKIr8AEGSeABgLdVBAkgLpiDZdkYq7F9YBgX5n4omid1igA==" saltValue="nROZl4d/sgo6pOMAhvKfM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TORRENT</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202</v>
      </c>
      <c r="O9" s="334"/>
      <c r="P9" s="334"/>
      <c r="Q9" s="226">
        <f>IF(ISNUMBER(Datos!P9),Datos!P9,0)</f>
        <v>606</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491</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225</v>
      </c>
      <c r="AI9" s="334" t="str">
        <f>IF(ISNUMBER(Datos!CD9),Datos!CD9,"-")</f>
        <v>-</v>
      </c>
      <c r="AJ9" s="334" t="str">
        <f>IF(ISNUMBER(Datos!EN9),Datos!EN9," - ")</f>
        <v xml:space="preserve"> - </v>
      </c>
      <c r="AK9" s="334"/>
      <c r="AL9" s="479"/>
      <c r="AM9" s="335">
        <f>IF(ISNUMBER(Datos!R9),Datos!R9," - ")</f>
        <v>10694</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599</v>
      </c>
      <c r="BD9" s="229">
        <f>IF(ISNUMBER(Datos!N9),Datos!N9," - ")</f>
        <v>1262</v>
      </c>
      <c r="BE9" s="229" t="str">
        <f>IF(ISNUMBER(Datos!BW9),Datos!BW9," - ")</f>
        <v xml:space="preserve"> - </v>
      </c>
      <c r="BF9" s="228" t="str">
        <f>IF(ISNUMBER(Datos!BX9),Datos!BX9," - ")</f>
        <v xml:space="preserve"> - </v>
      </c>
      <c r="BG9" s="243">
        <f>IF(ISNUMBER(IF(J_V="SI",Datos!K9/Datos!J9,(Datos!K9+Datos!AA9)/(Datos!J9+Datos!Z9))),IF(J_V="SI",Datos!K9/Datos!J9,(Datos!K9+Datos!AA9)/(Datos!J9+Datos!Z9))," - ")</f>
        <v>0.97244506452738055</v>
      </c>
      <c r="BH9" s="260">
        <f>IF(ISNUMBER(((IF(J_V="SI",Datos!L9/Datos!K9,(Datos!L9+Datos!AB9)/(Datos!K9+Datos!AA9)))*11)/factor_trimestre),((IF(J_V="SI",Datos!L9/Datos!K9,(Datos!L9+Datos!AB9)/(Datos!K9+Datos!AA9)))*11)/factor_trimestre," - ")</f>
        <v>6.6768292682926829</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1.087059268361849E-2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106</v>
      </c>
      <c r="G10" s="333">
        <f>IF(ISNUMBER(Datos!I10),Datos!I10," - ")</f>
        <v>106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17</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69</v>
      </c>
      <c r="AC10" s="226">
        <f>IF(ISNUMBER(Datos!Q10),Datos!Q10," - ")</f>
        <v>10</v>
      </c>
      <c r="AD10" s="334"/>
      <c r="AE10" s="484"/>
      <c r="AF10" s="332">
        <f>IF(ISNUMBER(Datos!L10),Datos!L10,"-")</f>
        <v>103</v>
      </c>
      <c r="AG10" s="334"/>
      <c r="AH10" s="334"/>
      <c r="AI10" s="334"/>
      <c r="AJ10" s="334"/>
      <c r="AK10" s="334"/>
      <c r="AL10" s="479"/>
      <c r="AM10" s="335">
        <f>IF(ISNUMBER(Datos!R10),Datos!R10," - ")</f>
        <v>74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30</v>
      </c>
      <c r="BD10" s="229">
        <f>IF(ISNUMBER(Datos!N10),Datos!N10," - ")</f>
        <v>26</v>
      </c>
      <c r="BE10" s="229" t="str">
        <f>IF(ISNUMBER(Datos!BW10),Datos!BW10," - ")</f>
        <v xml:space="preserve"> - </v>
      </c>
      <c r="BF10" s="228" t="str">
        <f>IF(ISNUMBER(Datos!BX10),Datos!BX10," - ")</f>
        <v xml:space="preserve"> - </v>
      </c>
      <c r="BG10" s="243">
        <f>IF(ISNUMBER(Datos!K10/Datos!J10),Datos!K10/Datos!J10," - ")</f>
        <v>1.0454545454545454</v>
      </c>
      <c r="BH10" s="260">
        <f>IF(ISNUMBER(((Datos!L10/Datos!K10)*11)/factor_trimestre),((Datos!L10/Datos!K10)*11)/factor_trimestre," - ")</f>
        <v>4.4782608695652177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0.1044776119402985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106</v>
      </c>
      <c r="G13" s="898">
        <f t="shared" si="0"/>
        <v>106</v>
      </c>
      <c r="H13" s="899">
        <f t="shared" si="0"/>
        <v>0</v>
      </c>
      <c r="I13" s="898">
        <f t="shared" si="0"/>
        <v>0</v>
      </c>
      <c r="J13" s="867">
        <f t="shared" si="0"/>
        <v>0</v>
      </c>
      <c r="K13" s="867">
        <f t="shared" si="0"/>
        <v>0</v>
      </c>
      <c r="L13" s="899">
        <f t="shared" si="0"/>
        <v>0</v>
      </c>
      <c r="M13" s="899">
        <f t="shared" si="0"/>
        <v>0</v>
      </c>
      <c r="N13" s="899">
        <f t="shared" si="0"/>
        <v>202</v>
      </c>
      <c r="O13" s="900">
        <f t="shared" si="0"/>
        <v>0</v>
      </c>
      <c r="P13" s="900">
        <f t="shared" si="0"/>
        <v>0</v>
      </c>
      <c r="Q13" s="899">
        <f t="shared" si="0"/>
        <v>623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69</v>
      </c>
      <c r="AC13" s="899">
        <f t="shared" si="1"/>
        <v>501</v>
      </c>
      <c r="AD13" s="899">
        <f t="shared" si="1"/>
        <v>0</v>
      </c>
      <c r="AE13" s="899">
        <f t="shared" si="1"/>
        <v>0</v>
      </c>
      <c r="AF13" s="899">
        <f t="shared" si="1"/>
        <v>103</v>
      </c>
      <c r="AG13" s="899">
        <f t="shared" si="1"/>
        <v>0</v>
      </c>
      <c r="AH13" s="899">
        <f t="shared" si="1"/>
        <v>225</v>
      </c>
      <c r="AI13" s="899">
        <f t="shared" si="1"/>
        <v>0</v>
      </c>
      <c r="AJ13" s="899">
        <f t="shared" si="1"/>
        <v>0</v>
      </c>
      <c r="AK13" s="899">
        <f t="shared" si="1"/>
        <v>0</v>
      </c>
      <c r="AL13" s="899">
        <f t="shared" si="1"/>
        <v>0</v>
      </c>
      <c r="AM13" s="899">
        <f t="shared" si="1"/>
        <v>10768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629</v>
      </c>
      <c r="BD13" s="899">
        <f t="shared" si="1"/>
        <v>1288</v>
      </c>
      <c r="BE13" s="899">
        <f t="shared" si="1"/>
        <v>0</v>
      </c>
      <c r="BF13" s="899">
        <f t="shared" si="1"/>
        <v>0</v>
      </c>
      <c r="BG13" s="899">
        <f>IF(ISNUMBER(Datos!K13/Datos!J13),Datos!K13/Datos!J13," - ")</f>
        <v>0.95642621750274626</v>
      </c>
      <c r="BH13" s="903">
        <f>IF(ISNUMBER(((Datos!L13/Datos!K13)*11)/factor_trimestre),((Datos!L13/Datos!K13)*11)/factor_trimestre," - ")</f>
        <v>6.9866003062787136</v>
      </c>
      <c r="BI13" s="899">
        <f>IF(ISNUMBER('Resol  Asuntos'!D13/NºAsuntos!G13),'Resol  Asuntos'!D13/NºAsuntos!G13," - ")</f>
        <v>0.22016100805040251</v>
      </c>
      <c r="BJ13" s="899" t="str">
        <f>IF(ISNUMBER(Datos!CI13/Datos!CJ13),Datos!CI13/Datos!CJ13," - ")</f>
        <v xml:space="preserve"> - </v>
      </c>
      <c r="BK13" s="899">
        <f>SUBTOTAL(9,BK8:BK12)</f>
        <v>0</v>
      </c>
      <c r="BL13" s="899">
        <f>IF(ISNUMBER((I13-AB13+L13)/(F13)),(I13-AB13+L13)/(F13)," - ")</f>
        <v>-0.65094339622641506</v>
      </c>
      <c r="BM13" s="904">
        <f>SUBTOTAL(9,BM9:BM12)</f>
        <v>0.115348204623917</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3</v>
      </c>
      <c r="B15" s="594" t="s">
        <v>396</v>
      </c>
      <c r="C15" s="600" t="str">
        <f>Datos!A15</f>
        <v xml:space="preserve">Jdos. Instrucción                               </v>
      </c>
      <c r="D15" s="601"/>
      <c r="E15" s="1165">
        <f>IF(ISNUMBER(Datos!AQ15),Datos!AQ15," - ")</f>
        <v>3</v>
      </c>
      <c r="F15" s="595">
        <f>IF(ISNUMBER(AF15+AB15-Datos!J15-L15),AF15+AB15-Datos!J15-L15," - ")</f>
        <v>2534</v>
      </c>
      <c r="G15" s="598">
        <f>IF(ISNUMBER(IF(D_I="SI",Datos!I15,Datos!I15+Datos!AC15)),IF(D_I="SI",Datos!I15,Datos!I15+Datos!AC15)," - ")</f>
        <v>2425</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101</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1943</v>
      </c>
      <c r="AC15" s="226">
        <f>IF(ISNUMBER(Datos!Q15),Datos!Q15," - ")</f>
        <v>178</v>
      </c>
      <c r="AD15" s="334"/>
      <c r="AE15" s="484"/>
      <c r="AF15" s="596">
        <f>IF(ISNUMBER(IF(D_I="SI",Datos!L15,Datos!L15+Datos!AF15)),IF(D_I="SI",Datos!L15,Datos!L15+Datos!AF15)," - ")</f>
        <v>2680</v>
      </c>
      <c r="AG15" s="334"/>
      <c r="AH15" s="334"/>
      <c r="AI15" s="334"/>
      <c r="AJ15" s="334"/>
      <c r="AK15" s="334"/>
      <c r="AL15" s="479"/>
      <c r="AM15" s="335">
        <f>IF(ISNUMBER(Datos!R15),Datos!R15," - ")</f>
        <v>488</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349</v>
      </c>
      <c r="BD15" s="229">
        <f>IF(ISNUMBER(Datos!N15),Datos!N15," - ")</f>
        <v>952</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0.93011010052656773</v>
      </c>
      <c r="BH15" s="260">
        <f>IF(ISNUMBER(((IF(D_I="SI",Datos!L15/Datos!K15,(Datos!L15+Datos!AF15)/(Datos!K15+Datos!AE15)))*11)/factor_trimestre),((IF(D_I="SI",Datos!L15/Datos!K15,(Datos!L15+Datos!AF15)/(Datos!K15+Datos!AE15)))*11)/factor_trimestre," - ")</f>
        <v>4.1379310344827589</v>
      </c>
      <c r="BI15" s="243">
        <f>IF(ISNUMBER('Resol  Asuntos'!D15/NºAsuntos!G15),'Resol  Asuntos'!D15/NºAsuntos!G15," - ")</f>
        <v>0.17961914565105508</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399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15</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498</v>
      </c>
      <c r="AC17" s="226">
        <f>IF(ISNUMBER(Datos!Q17),Datos!Q17," - ")</f>
        <v>18</v>
      </c>
      <c r="AD17" s="334"/>
      <c r="AE17" s="484"/>
      <c r="AF17" s="332">
        <f>IF(ISNUMBER(Datos!L17),Datos!L17,"-")</f>
        <v>352</v>
      </c>
      <c r="AG17" s="334"/>
      <c r="AH17" s="334"/>
      <c r="AI17" s="334"/>
      <c r="AJ17" s="334"/>
      <c r="AK17" s="334"/>
      <c r="AL17" s="479"/>
      <c r="AM17" s="335">
        <f>IF(ISNUMBER(Datos!R17),Datos!R17," - ")</f>
        <v>22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62</v>
      </c>
      <c r="BD17" s="229">
        <f>IF(ISNUMBER(Datos!N17),Datos!N17," - ")</f>
        <v>260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1.1042128603104213</v>
      </c>
      <c r="BH17" s="260">
        <f>IF(ISNUMBER(((IF(D_I="SI",Datos!L17/Datos!K17,(Datos!L17+Datos!AF17)/(Datos!K17+Datos!AE17)))*11)/factor_trimestre),((IF(D_I="SI",Datos!L17/Datos!K17,(Datos!L17+Datos!AF17)/(Datos!K17+Datos!AE17)))*11)/factor_trimestre," - ")</f>
        <v>2.1204819277108435</v>
      </c>
      <c r="BI17" s="243">
        <f>IF(ISNUMBER('Resol  Asuntos'!D17/NºAsuntos!G17),'Resol  Asuntos'!D17/NºAsuntos!G17," - ")</f>
        <v>0.12449799196787148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2534</v>
      </c>
      <c r="G18" s="898">
        <f>SUBTOTAL(9,G15:G17)</f>
        <v>2824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2441</v>
      </c>
      <c r="AC18" s="899">
        <f t="shared" si="4"/>
        <v>196</v>
      </c>
      <c r="AD18" s="899">
        <f t="shared" si="4"/>
        <v>0</v>
      </c>
      <c r="AE18" s="899">
        <f t="shared" si="4"/>
        <v>0</v>
      </c>
      <c r="AF18" s="899">
        <f t="shared" si="4"/>
        <v>3032</v>
      </c>
      <c r="AG18" s="899">
        <f t="shared" si="4"/>
        <v>0</v>
      </c>
      <c r="AH18" s="899">
        <f t="shared" si="4"/>
        <v>0</v>
      </c>
      <c r="AI18" s="899">
        <f t="shared" si="4"/>
        <v>0</v>
      </c>
      <c r="AJ18" s="899">
        <f t="shared" si="4"/>
        <v>0</v>
      </c>
      <c r="AK18" s="899">
        <f t="shared" si="4"/>
        <v>0</v>
      </c>
      <c r="AL18" s="899">
        <f t="shared" si="4"/>
        <v>0</v>
      </c>
      <c r="AM18" s="899">
        <f t="shared" si="4"/>
        <v>510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411</v>
      </c>
      <c r="BD18" s="899">
        <f t="shared" si="4"/>
        <v>1212</v>
      </c>
      <c r="BE18" s="899">
        <f t="shared" si="4"/>
        <v>0</v>
      </c>
      <c r="BF18" s="899">
        <f t="shared" si="4"/>
        <v>0</v>
      </c>
      <c r="BG18" s="899">
        <f>IF(ISNUMBER(Datos!K18/Datos!J18),Datos!K18/Datos!J18," - ")</f>
        <v>0.96102362204724412</v>
      </c>
      <c r="BH18" s="903">
        <f>IF(ISNUMBER(((Datos!L18/Datos!K18)*11)/factor_trimestre),((Datos!L18/Datos!K18)*11)/factor_trimestre," - ")</f>
        <v>3.7263416632527648</v>
      </c>
      <c r="BI18" s="899">
        <f>SUBTOTAL(9,BI15:BI17)</f>
        <v>0.30411713761892656</v>
      </c>
      <c r="BJ18" s="899">
        <f>SUBTOTAL(9,BJ15:BJ17)</f>
        <v>0</v>
      </c>
      <c r="BK18" s="899">
        <f>SUBTOTAL(9,BK15:BK17)</f>
        <v>0</v>
      </c>
      <c r="BL18" s="899">
        <f>IF(ISNUMBER((I18-AB18+L18)/(F18)),(I18-AB18+L18)/(F18)," - ")</f>
        <v>-0.96329913180741911</v>
      </c>
      <c r="BM18" s="905">
        <f>IF(ISNUMBER((Datos!P18-Datos!Q18)/(Datos!R18-Datos!P18+Datos!Q18)),(Datos!P18-Datos!Q18)/(Datos!R18-Datos!P18+Datos!Q18)," - ")</f>
        <v>-0.13559322033898305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11</v>
      </c>
      <c r="F19" s="820">
        <f t="shared" si="6"/>
        <v>2640</v>
      </c>
      <c r="G19" s="820">
        <f t="shared" si="6"/>
        <v>2930</v>
      </c>
      <c r="H19" s="822">
        <f t="shared" si="6"/>
        <v>0</v>
      </c>
      <c r="I19" s="820">
        <f t="shared" si="6"/>
        <v>0</v>
      </c>
      <c r="J19" s="822">
        <f t="shared" si="6"/>
        <v>0</v>
      </c>
      <c r="K19" s="822">
        <f t="shared" si="6"/>
        <v>0</v>
      </c>
      <c r="L19" s="881">
        <f t="shared" si="6"/>
        <v>0</v>
      </c>
      <c r="M19" s="881">
        <f t="shared" si="6"/>
        <v>0</v>
      </c>
      <c r="N19" s="881">
        <f t="shared" si="6"/>
        <v>202</v>
      </c>
      <c r="O19" s="881">
        <f t="shared" si="6"/>
        <v>0</v>
      </c>
      <c r="P19" s="881">
        <f t="shared" si="6"/>
        <v>0</v>
      </c>
      <c r="Q19" s="822">
        <f t="shared" si="6"/>
        <v>739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2510</v>
      </c>
      <c r="AC19" s="821">
        <f t="shared" si="7"/>
        <v>697</v>
      </c>
      <c r="AD19" s="821">
        <f t="shared" si="7"/>
        <v>0</v>
      </c>
      <c r="AE19" s="821">
        <f t="shared" si="7"/>
        <v>0</v>
      </c>
      <c r="AF19" s="828">
        <f t="shared" si="7"/>
        <v>3135</v>
      </c>
      <c r="AG19" s="828">
        <f t="shared" si="7"/>
        <v>0</v>
      </c>
      <c r="AH19" s="828">
        <f t="shared" si="7"/>
        <v>225</v>
      </c>
      <c r="AI19" s="828">
        <f t="shared" si="7"/>
        <v>0</v>
      </c>
      <c r="AJ19" s="821">
        <f t="shared" si="7"/>
        <v>0</v>
      </c>
      <c r="AK19" s="828">
        <f t="shared" si="7"/>
        <v>0</v>
      </c>
      <c r="AL19" s="828">
        <f t="shared" si="7"/>
        <v>0</v>
      </c>
      <c r="AM19" s="828">
        <f t="shared" si="7"/>
        <v>11278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1040</v>
      </c>
      <c r="BD19" s="820">
        <f t="shared" si="7"/>
        <v>2500</v>
      </c>
      <c r="BE19" s="820">
        <f t="shared" si="7"/>
        <v>0</v>
      </c>
      <c r="BF19" s="830">
        <f t="shared" si="7"/>
        <v>0</v>
      </c>
      <c r="BG19" s="915">
        <f>IF(ISNUMBER(Datos!K19/Datos!J19),Datos!K19/Datos!J19," - ")</f>
        <v>0.95864162398026942</v>
      </c>
      <c r="BH19" s="915">
        <f>IF(ISNUMBER(((Datos!L19/Datos!K19)*11)/factor_trimestre),((Datos!L19/Datos!K19)*11)/factor_trimestre," - ")</f>
        <v>5.4116366514941623</v>
      </c>
      <c r="BI19" s="813">
        <f>IF(ISNUMBER(Datos!J19/Datos!I19),Datos!J19/Datos!I19," - ")</f>
        <v>0.60013662757599906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-0.9507575757575758</v>
      </c>
      <c r="BM19" s="889">
        <f>IF(ISNUMBER((Datos!P19-Datos!Q19+R19)/(Datos!R19-Datos!P19+Datos!Q19-R19)),(Datos!P19-Datos!Q19+R19)/(Datos!R19-Datos!P19+Datos!Q19-R19)," - ")</f>
        <v>3.737985048059808E-3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2.6977356760397742</v>
      </c>
      <c r="F21" s="551">
        <f>IF(ISNUMBER(STDEV(F8:F18)),STDEV(F8:F18),"-")</f>
        <v>1401.8064535924113</v>
      </c>
      <c r="G21" s="552">
        <f>IF(ISNUMBER(STDEV(G8:G18)),STDEV(G8:G18),"-")</f>
        <v>1338.7824692607833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1112.5619083898207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256.45324460155825</v>
      </c>
      <c r="BD21" s="551"/>
      <c r="BE21" s="551">
        <f>IF(ISNUMBER(STDEV(BE8:BE18)),STDEV(BE8:BE18),"-")</f>
        <v>0</v>
      </c>
      <c r="BF21" s="556">
        <f>IF(ISNUMBER(STDEV(BF8:BF18)),STDEV(BF8:BF18),"-")</f>
        <v>0</v>
      </c>
      <c r="BG21" s="775">
        <f>IF(ISNUMBER(STDEV(BG8:BG18)),STDEV(BG8:BG18),"-")</f>
        <v>6.6083049643854641E-2</v>
      </c>
      <c r="BH21" s="776">
        <f>IF(ISNUMBER(STDEV(BH8:BH18)),STDEV(BH8:BH18),"-")</f>
        <v>1.8494597590270379</v>
      </c>
      <c r="BI21" s="249">
        <f>IF(ISNUMBER(STDEV(BI8:BI18)),STDEV(BI8:BI18),"-")</f>
        <v>7.5633334811638725E-2</v>
      </c>
      <c r="BJ21" s="230" t="str">
        <f>IF(ISNUMBER(BL21/BM21),BL21/BM21," - ")</f>
        <v xml:space="preserve"> - </v>
      </c>
      <c r="BK21" s="575"/>
      <c r="BL21" s="559">
        <f>IF(ISNUMBER(STDEV(BL8:BL18)),STDEV(BL8:BL18),"-")</f>
        <v>0.22086885877184032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jGB0wIytc9n9CyUd9e8C5JsY1Z9QCFXKghcYU559O1kfDYBJmp8Q+QlyVuvCJx1PbZI7W8tve8J4oaN9/yhHEg==" saltValue="slHh48hdrxmAy8kit51VP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TORRENT</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606</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491</v>
      </c>
      <c r="AA9" s="332" t="str">
        <f>IF(ISNUMBER(IF(J_V="SI",Datos!L9,Datos!L9+Datos!AB9)-IF(Monitorios="SI",Datos!CD9,0)),
                          IF(J_V="SI",Datos!L9,Datos!L9+Datos!AB9)-IF(Monitorios="SI",Datos!CD9,0),
                          " - ")</f>
        <v xml:space="preserve"> - </v>
      </c>
      <c r="AB9" s="334"/>
      <c r="AC9" s="334"/>
      <c r="AD9" s="484"/>
      <c r="AE9" s="484">
        <f>IF(ISNUMBER(Datos!R9),Datos!R9," - ")</f>
        <v>10694</v>
      </c>
      <c r="AF9" s="229" t="str">
        <f>IF(ISNUMBER(Datos!BV9),Datos!BV9," - ")</f>
        <v xml:space="preserve"> - </v>
      </c>
      <c r="AG9" s="225" t="str">
        <f>IF(ISNUMBER(Datos!DV9),Datos!DV9," - ")</f>
        <v xml:space="preserve"> - </v>
      </c>
      <c r="AH9" s="298"/>
      <c r="AI9" s="227"/>
      <c r="AJ9" s="225">
        <f>IF(ISNUMBER(Datos!M9),Datos!M9," - ")</f>
        <v>599</v>
      </c>
      <c r="AK9" s="229">
        <f>IF(ISNUMBER(Datos!N9),Datos!N9," - ")</f>
        <v>1262</v>
      </c>
      <c r="AL9" s="229" t="str">
        <f>IF(ISNUMBER(Datos!BW9),Datos!BW9," - ")</f>
        <v xml:space="preserve"> - </v>
      </c>
      <c r="AM9" s="228" t="str">
        <f>IF(ISNUMBER(Datos!BX9),Datos!BX9," - ")</f>
        <v xml:space="preserve"> - </v>
      </c>
      <c r="AN9" s="243"/>
      <c r="AO9" s="260">
        <f>IF(ISNUMBER(((NºAsuntos!I9/NºAsuntos!G9)*11)/factor_trimestre),((NºAsuntos!I9/NºAsuntos!G9)*11)/factor_trimestre," - ")</f>
        <v>6.6768292682926829</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1.087059268361849E-2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106</v>
      </c>
      <c r="G10" s="225">
        <f>IF(ISNUMBER(Datos!I10),Datos!I10," - ")</f>
        <v>106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17</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69</v>
      </c>
      <c r="Z10" s="619">
        <f>IF(ISNUMBER(Datos!Q10),Datos!Q10," - ")</f>
        <v>10</v>
      </c>
      <c r="AA10" s="332">
        <f>IF(ISNUMBER(Datos!L10),Datos!L10,"-")</f>
        <v>103</v>
      </c>
      <c r="AB10" s="334"/>
      <c r="AC10" s="334"/>
      <c r="AD10" s="484"/>
      <c r="AE10" s="484">
        <f>IF(ISNUMBER(Datos!R10),Datos!R10," - ")</f>
        <v>74</v>
      </c>
      <c r="AF10" s="229" t="str">
        <f>IF(ISNUMBER(Datos!BV10),Datos!BV10," - ")</f>
        <v xml:space="preserve"> - </v>
      </c>
      <c r="AG10" s="225" t="str">
        <f>IF(ISNUMBER(Datos!DV10),Datos!DV10," - ")</f>
        <v xml:space="preserve"> - </v>
      </c>
      <c r="AH10" s="298"/>
      <c r="AI10" s="227"/>
      <c r="AJ10" s="225">
        <f>IF(ISNUMBER(Datos!M10),Datos!M10," - ")</f>
        <v>30</v>
      </c>
      <c r="AK10" s="229">
        <f>IF(ISNUMBER(Datos!N10),Datos!N10," - ")</f>
        <v>26</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4.4782608695652177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0.1044776119402985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106</v>
      </c>
      <c r="G13" s="898">
        <f>SUBTOTAL(9,G8:G12)</f>
        <v>106</v>
      </c>
      <c r="H13" s="908"/>
      <c r="I13" s="898">
        <f t="shared" ref="I13:N13" si="0">SUBTOTAL(9,I8:I12)</f>
        <v>0</v>
      </c>
      <c r="J13" s="867">
        <f t="shared" si="0"/>
        <v>0</v>
      </c>
      <c r="K13" s="908">
        <f t="shared" si="0"/>
        <v>0</v>
      </c>
      <c r="L13" s="908">
        <f t="shared" si="0"/>
        <v>0</v>
      </c>
      <c r="M13" s="908">
        <f t="shared" si="0"/>
        <v>0</v>
      </c>
      <c r="N13" s="908">
        <f t="shared" si="0"/>
        <v>623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69</v>
      </c>
      <c r="Z13" s="907">
        <f t="shared" si="2"/>
        <v>501</v>
      </c>
      <c r="AA13" s="900">
        <f t="shared" si="2"/>
        <v>103</v>
      </c>
      <c r="AB13" s="900">
        <f t="shared" si="2"/>
        <v>0</v>
      </c>
      <c r="AC13" s="900">
        <f t="shared" si="2"/>
        <v>0</v>
      </c>
      <c r="AD13" s="900">
        <f t="shared" si="2"/>
        <v>0</v>
      </c>
      <c r="AE13" s="900">
        <f t="shared" si="2"/>
        <v>10768</v>
      </c>
      <c r="AF13" s="908">
        <f t="shared" si="2"/>
        <v>0</v>
      </c>
      <c r="AG13" s="908">
        <f t="shared" si="2"/>
        <v>0</v>
      </c>
      <c r="AH13" s="908">
        <f t="shared" si="2"/>
        <v>0</v>
      </c>
      <c r="AI13" s="908">
        <f t="shared" si="2"/>
        <v>0</v>
      </c>
      <c r="AJ13" s="908">
        <f t="shared" si="2"/>
        <v>629</v>
      </c>
      <c r="AK13" s="908">
        <f t="shared" si="2"/>
        <v>1288</v>
      </c>
      <c r="AL13" s="908">
        <f t="shared" si="2"/>
        <v>0</v>
      </c>
      <c r="AM13" s="908">
        <f t="shared" si="2"/>
        <v>0</v>
      </c>
      <c r="AN13" s="908">
        <f t="shared" si="2"/>
        <v>0</v>
      </c>
      <c r="AO13" s="904">
        <f>IF(ISNUMBER(((NºAsuntos!I13/NºAsuntos!G13)*11)/factor_trimestre),((NºAsuntos!I13/NºAsuntos!G13)*11)/factor_trimestre," - ")</f>
        <v>6.6237311865593291</v>
      </c>
      <c r="AP13" s="910" t="str">
        <f>IF(ISNUMBER(Datos!CI13/Datos!CJ13),Datos!CI13/Datos!CJ13," - ")</f>
        <v xml:space="preserve"> - </v>
      </c>
      <c r="AQ13" s="928">
        <f t="shared" ref="AQ13:AV13" si="3">SUBTOTAL(9,AQ9:AQ12)</f>
        <v>0</v>
      </c>
      <c r="AR13" s="928">
        <f t="shared" si="3"/>
        <v>0.115348204623917</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3</v>
      </c>
      <c r="B15" s="507" t="s">
        <v>396</v>
      </c>
      <c r="C15" s="160" t="str">
        <f>Datos!A15</f>
        <v xml:space="preserve">Jdos. Instrucción                               </v>
      </c>
      <c r="D15" s="502"/>
      <c r="E15" s="1168">
        <f>IF(ISNUMBER(Datos!AQ15),Datos!AQ15," - ")</f>
        <v>3</v>
      </c>
      <c r="F15" s="333">
        <f>IF(ISNUMBER(AA15+Y15-Datos!J15-K15),AA15+Y15-Datos!J15-K15," - ")</f>
        <v>2534</v>
      </c>
      <c r="G15" s="225">
        <f>IF(ISNUMBER(IF(D_I="SI",Datos!I15,Datos!I15+Datos!AC15)),IF(D_I="SI",Datos!I15,Datos!I15+Datos!AC15)," - ")</f>
        <v>2425</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101</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1943</v>
      </c>
      <c r="Z15" s="619">
        <f>IF(ISNUMBER(Datos!Q15),Datos!Q15," - ")</f>
        <v>178</v>
      </c>
      <c r="AA15" s="332">
        <f>IF(ISNUMBER(IF(D_I="SI",Datos!L15,Datos!L15+Datos!AF15)),IF(D_I="SI",Datos!L15,Datos!L15+Datos!AF15)," - ")</f>
        <v>2680</v>
      </c>
      <c r="AB15" s="334"/>
      <c r="AC15" s="334"/>
      <c r="AD15" s="484"/>
      <c r="AE15" s="484">
        <f>IF(ISNUMBER(Datos!R15),Datos!R15," - ")</f>
        <v>488</v>
      </c>
      <c r="AF15" s="229" t="str">
        <f>IF(ISNUMBER(Datos!BV15),Datos!BV15," - ")</f>
        <v xml:space="preserve"> - </v>
      </c>
      <c r="AG15" s="225"/>
      <c r="AH15" s="298"/>
      <c r="AI15" s="227"/>
      <c r="AJ15" s="225">
        <f>IF(ISNUMBER(Datos!M15),Datos!M15," - ")</f>
        <v>349</v>
      </c>
      <c r="AK15" s="229">
        <f>IF(ISNUMBER(Datos!N15),Datos!N15," - ")</f>
        <v>952</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4.1379310344827589</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399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15</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498</v>
      </c>
      <c r="Z17" s="619">
        <f>IF(ISNUMBER(Datos!Q17),Datos!Q17," - ")</f>
        <v>18</v>
      </c>
      <c r="AA17" s="332">
        <f>IF(ISNUMBER(Datos!L17),Datos!L17,"-")</f>
        <v>352</v>
      </c>
      <c r="AB17" s="334"/>
      <c r="AC17" s="334"/>
      <c r="AD17" s="484"/>
      <c r="AE17" s="484">
        <f>IF(ISNUMBER(Datos!R17),Datos!R17," - ")</f>
        <v>22</v>
      </c>
      <c r="AF17" s="229" t="str">
        <f>IF(ISNUMBER(Datos!BV17),Datos!BV17," - ")</f>
        <v xml:space="preserve"> - </v>
      </c>
      <c r="AG17" s="225" t="str">
        <f>IF(ISNUMBER(Datos!DV17),Datos!DV17," - ")</f>
        <v xml:space="preserve"> - </v>
      </c>
      <c r="AH17" s="298"/>
      <c r="AI17" s="227"/>
      <c r="AJ17" s="225">
        <f>IF(ISNUMBER(Datos!M17),Datos!M17," - ")</f>
        <v>62</v>
      </c>
      <c r="AK17" s="229">
        <f>IF(ISNUMBER(Datos!N17),Datos!N17," - ")</f>
        <v>260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2.1204819277108435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2534</v>
      </c>
      <c r="G18" s="898">
        <f>SUBTOTAL(9,G15:G17)</f>
        <v>2824</v>
      </c>
      <c r="H18" s="932">
        <f>SUBTOTAL(9,H15:H17)</f>
        <v>0</v>
      </c>
      <c r="I18" s="911">
        <f>SUBTOTAL(9,I15:I17)</f>
        <v>0</v>
      </c>
      <c r="J18" s="867">
        <f>SUBTOTAL(9,J14:J17)</f>
        <v>0</v>
      </c>
      <c r="K18" s="932">
        <f t="shared" ref="K18:S18" si="4">SUBTOTAL(9,K15:K17)</f>
        <v>0</v>
      </c>
      <c r="L18" s="932">
        <f t="shared" si="4"/>
        <v>0</v>
      </c>
      <c r="M18" s="932">
        <f t="shared" si="4"/>
        <v>0</v>
      </c>
      <c r="N18" s="932">
        <f t="shared" si="4"/>
        <v>116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2441</v>
      </c>
      <c r="Z18" s="932">
        <f t="shared" si="5"/>
        <v>196</v>
      </c>
      <c r="AA18" s="932">
        <f t="shared" si="5"/>
        <v>3032</v>
      </c>
      <c r="AB18" s="932">
        <f t="shared" si="5"/>
        <v>0</v>
      </c>
      <c r="AC18" s="932">
        <f t="shared" si="5"/>
        <v>0</v>
      </c>
      <c r="AD18" s="932">
        <f t="shared" si="5"/>
        <v>0</v>
      </c>
      <c r="AE18" s="932">
        <f t="shared" si="5"/>
        <v>510</v>
      </c>
      <c r="AF18" s="932">
        <f t="shared" si="5"/>
        <v>0</v>
      </c>
      <c r="AG18" s="932">
        <f t="shared" si="5"/>
        <v>0</v>
      </c>
      <c r="AH18" s="932">
        <f t="shared" si="5"/>
        <v>0</v>
      </c>
      <c r="AI18" s="932">
        <f t="shared" si="5"/>
        <v>0</v>
      </c>
      <c r="AJ18" s="932">
        <f t="shared" si="5"/>
        <v>411</v>
      </c>
      <c r="AK18" s="932">
        <f t="shared" si="5"/>
        <v>1212</v>
      </c>
      <c r="AL18" s="932">
        <f t="shared" si="5"/>
        <v>0</v>
      </c>
      <c r="AM18" s="932">
        <f t="shared" si="5"/>
        <v>0</v>
      </c>
      <c r="AN18" s="932">
        <f t="shared" si="5"/>
        <v>0</v>
      </c>
      <c r="AO18" s="934">
        <f>IF(ISNUMBER(((NºAsuntos!I18/NºAsuntos!G18)*11)/factor_trimestre),((NºAsuntos!I18/NºAsuntos!G18)*11)/factor_trimestre," - ")</f>
        <v>3.7263416632527648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11</v>
      </c>
      <c r="F19" s="820">
        <f t="shared" si="7"/>
        <v>2640</v>
      </c>
      <c r="G19" s="820">
        <f t="shared" si="7"/>
        <v>2930</v>
      </c>
      <c r="H19" s="821">
        <f t="shared" si="7"/>
        <v>0</v>
      </c>
      <c r="I19" s="820">
        <f t="shared" si="7"/>
        <v>0</v>
      </c>
      <c r="J19" s="822">
        <f t="shared" si="7"/>
        <v>0</v>
      </c>
      <c r="K19" s="820">
        <f t="shared" si="7"/>
        <v>0</v>
      </c>
      <c r="L19" s="823">
        <f t="shared" si="7"/>
        <v>0</v>
      </c>
      <c r="M19" s="820">
        <f t="shared" si="7"/>
        <v>0</v>
      </c>
      <c r="N19" s="821">
        <f t="shared" si="7"/>
        <v>739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2510</v>
      </c>
      <c r="Z19" s="827">
        <f t="shared" si="8"/>
        <v>697</v>
      </c>
      <c r="AA19" s="828">
        <f t="shared" si="8"/>
        <v>3135</v>
      </c>
      <c r="AB19" s="828">
        <f t="shared" si="8"/>
        <v>0</v>
      </c>
      <c r="AC19" s="828">
        <f t="shared" si="8"/>
        <v>0</v>
      </c>
      <c r="AD19" s="829">
        <f t="shared" si="8"/>
        <v>0</v>
      </c>
      <c r="AE19" s="829">
        <f t="shared" si="8"/>
        <v>11278</v>
      </c>
      <c r="AF19" s="830">
        <f t="shared" si="8"/>
        <v>0</v>
      </c>
      <c r="AG19" s="831">
        <f t="shared" si="8"/>
        <v>0</v>
      </c>
      <c r="AH19" s="832">
        <f t="shared" si="8"/>
        <v>0</v>
      </c>
      <c r="AI19" s="830">
        <f t="shared" si="8"/>
        <v>0</v>
      </c>
      <c r="AJ19" s="820">
        <f t="shared" si="8"/>
        <v>1040</v>
      </c>
      <c r="AK19" s="820">
        <f t="shared" si="8"/>
        <v>2500</v>
      </c>
      <c r="AL19" s="820">
        <f t="shared" si="8"/>
        <v>0</v>
      </c>
      <c r="AM19" s="833">
        <f t="shared" si="8"/>
        <v>0</v>
      </c>
      <c r="AN19" s="823">
        <f>IF(ISNUMBER(Datos!K19/Datos!J19),Datos!K19/Datos!J19," - ")</f>
        <v>0.95864162398026942</v>
      </c>
      <c r="AO19" s="823">
        <f>IF(ISNUMBER(FIND("06",Criterios!A8,1)),(IF(ISNUMBER(((Datos!R19/Datos!Q19)*11)/factor_trimestre),((Datos!R19/Datos!Q19)*11)/factor_trimestre," - ")),(IF(ISNUMBER(((Datos!L19/Datos!K19)*11)/factor_trimestre),((Datos!L19/Datos!K19)*11)/factor_trimestre," - ")))</f>
        <v>5.4116366514941623</v>
      </c>
      <c r="AP19" s="834" t="str">
        <f>IF(ISNUMBER(Datos!CI19/Datos!CJ19),Datos!CI19/Datos!CJ19," - ")</f>
        <v xml:space="preserve"> - </v>
      </c>
      <c r="AQ19" s="834">
        <f>IF(OR(ISNUMBER(FIND("01",Criterios!A8,1)),ISNUMBER(FIND("02",Criterios!A8,1)),ISNUMBER(FIND("03",Criterios!A8,1)),ISNUMBER(FIND("04",Criterios!A8,1))),(J19-Y19+K19)/(F19-K19),(I19-Y19+K19)/(F19-K19))</f>
        <v>-0.9507575757575758</v>
      </c>
      <c r="AR19" s="834">
        <f>IF(ISNUMBER((Datos!P19-Datos!Q19+O19)/(Datos!R19-Datos!P19+Datos!Q19-O19)),(Datos!P19-Datos!Q19+O19)/(Datos!R19-Datos!P19+Datos!Q19-O19)," - ")</f>
        <v>3.737985048059808E-3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1401.8064535924113</v>
      </c>
      <c r="G21" s="552">
        <f>IF(ISNUMBER(STDEV(G8:G18)),STDEV(G8:G18),"-")</f>
        <v>1338.7824692607833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256.45324460155825</v>
      </c>
      <c r="AK21" s="252"/>
      <c r="AL21" s="252">
        <f>IF(ISNUMBER(STDEV(AL8:AL18)),STDEV(AL8:AL18),"-")</f>
        <v>0</v>
      </c>
      <c r="AM21" s="254">
        <f>IF(ISNUMBER(STDEV(AM8:AM18)),STDEV(AM8:AM18),"-")</f>
        <v>0</v>
      </c>
      <c r="AN21" s="539">
        <f>IF(ISNUMBER(STDEV(AN8:AN18)),STDEV(AN8:AN18),"-")</f>
        <v>0</v>
      </c>
      <c r="AO21" s="540">
        <f>IF(ISNUMBER(STDEV(AO8:AO18)),STDEV(AO8:AO18),"-")</f>
        <v>1.7631712971127134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MJXYnTqX1MW6JIDm18BBpJ35dXoF9LtP2EgXyybiKBc+3ND/I7GcIE+oSKHd6oPvCkMuIapyA94PmIzUtEffFw==" saltValue="HivUso2Y2plc0QA9oyBsV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8VHSESoEH+LCWijT0Sy3dVOjrUT9Me63Na7bUwe3HCSLtPqJjvnGTmoD8A8xfFhJ2Vv4nQlGEhr3nSUJWIlUZg==" saltValue="iEM7bs8FXxGOfzTgcsII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rdoYi5zuHZhAYTohF6iWZckaJyxXP8a+mimYEZNpfTAjWusR4qerDS6zppMsvbMsM8bIOA0YB5BZd1dUypObA==" saltValue="lRLP/OR6KC0N6xDhxoYZC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TORRENT</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0.22016100805040251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0.1556773417453057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yBjaDso/Y0NPYnWlPTYJEqXPjA0ohYmvg0FjI8fUHb3w7FcV/4uFgfG66AmjSrVFcY/r1fn9GwjxWOPO78WVlA==" saltValue="m/PR5aTffEafImRFsf4oP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mG2gBlnEAAIiVwnc+2JGFteB+S80WVUCXiA62SCRPQZ6j72eu6pOmbDLarNiGbbvT8Qi6+gCebFpUHRrkM2BWw==" saltValue="hq9+ZHlAVQ5c2ss2muGe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TORRENT</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6121</v>
      </c>
      <c r="D9" s="404">
        <f>IF(ISNUMBER(C9/Datos!BH9),C9/Datos!BH9," - ")</f>
        <v>1020.1666666666666</v>
      </c>
      <c r="E9" s="403">
        <f>IF(ISNUMBER(IF(J_V="SI",Datos!J9,Datos!J9+Datos!Z9)),IF(J_V="SI",Datos!J9,Datos!J9+Datos!Z9)," - ")</f>
        <v>2867</v>
      </c>
      <c r="F9" s="404">
        <f>IF(ISNUMBER(E9/B9),E9/B9," - ")</f>
        <v>477.83333333333331</v>
      </c>
      <c r="G9" s="403">
        <f>IF(ISNUMBER(IF(J_V="SI",Datos!K9,Datos!K9+Datos!AA9)),IF(J_V="SI",Datos!K9,Datos!K9+Datos!AA9)," - ")</f>
        <v>2788</v>
      </c>
      <c r="H9" s="404">
        <f>IF(ISNUMBER(G9/B9),G9/B9," - ")</f>
        <v>464.66666666666669</v>
      </c>
      <c r="I9" s="403">
        <f>IF(ISNUMBER(IF(J_V="SI",Datos!L9,Datos!L9+Datos!AB9)),IF(J_V="SI",Datos!L9,Datos!L9+Datos!AB9)," - ")</f>
        <v>6205</v>
      </c>
      <c r="J9" s="404">
        <f>IF(ISNUMBER(I9/B9),I9/B9," - ")</f>
        <v>1034.1666666666667</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106</v>
      </c>
      <c r="D10" s="404">
        <f>IF(ISNUMBER(C10/Datos!BH10),C10/Datos!BH10," - ")</f>
        <v>106</v>
      </c>
      <c r="E10" s="403">
        <f>IF(ISNUMBER(Datos!J10),Datos!J10," - ")</f>
        <v>66</v>
      </c>
      <c r="F10" s="404">
        <f>IF(ISNUMBER(E10/B10),E10/B10," - ")</f>
        <v>66</v>
      </c>
      <c r="G10" s="403">
        <f>IF(ISNUMBER(Datos!K10),Datos!K10," - ")</f>
        <v>69</v>
      </c>
      <c r="H10" s="404">
        <f>IF(ISNUMBER(G10/B10),G10/B10," - ")</f>
        <v>69</v>
      </c>
      <c r="I10" s="403">
        <f>IF(ISNUMBER(Datos!L10),Datos!L10," - ")</f>
        <v>103</v>
      </c>
      <c r="J10" s="404">
        <f>IF(ISNUMBER(I10/B10),I10/B10," - ")</f>
        <v>103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6227</v>
      </c>
      <c r="D13" s="850" t="str">
        <f>IF(ISNUMBER(C13/Datos!BI13),C13/Datos!BI13," - ")</f>
        <v xml:space="preserve"> - </v>
      </c>
      <c r="E13" s="849">
        <f>SUBTOTAL(9,E8:E12)</f>
        <v>2933</v>
      </c>
      <c r="F13" s="850">
        <f>IF(ISNUMBER(E13/B13),E13/B13," - ")</f>
        <v>419</v>
      </c>
      <c r="G13" s="849">
        <f>SUBTOTAL(9,G8:G12)</f>
        <v>2857</v>
      </c>
      <c r="H13" s="850">
        <f>IF(ISNUMBER(G13/B13),G13/B13," - ")</f>
        <v>408.14285714285717</v>
      </c>
      <c r="I13" s="849">
        <f>SUBTOTAL(9,I8:I12)</f>
        <v>6308</v>
      </c>
      <c r="J13" s="850">
        <f>IF(ISNUMBER(I13/B13),I13/B13," - ")</f>
        <v>901.14285714285711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3</v>
      </c>
      <c r="C15" s="403">
        <f>IF(ISNUMBER(IF(D_I="SI",Datos!I15,Datos!I15+Datos!AC15)),IF(D_I="SI",Datos!I15,Datos!I15+Datos!AC15)," - ")</f>
        <v>2425</v>
      </c>
      <c r="D15" s="404">
        <f>IF(ISNUMBER(C15/Datos!BH15),C15/Datos!BH15," - ")</f>
        <v>808.33333333333337</v>
      </c>
      <c r="E15" s="403">
        <f>IF(ISNUMBER(IF(D_I="SI",Datos!J15,Datos!J15+Datos!AD15)),IF(D_I="SI",Datos!J15,Datos!J15+Datos!AD15)," - ")</f>
        <v>2089</v>
      </c>
      <c r="F15" s="404">
        <f>IF(ISNUMBER(E15/B15),E15/B15," - ")</f>
        <v>696.33333333333337</v>
      </c>
      <c r="G15" s="403">
        <f>IF(ISNUMBER(IF(D_I="SI",Datos!K15,Datos!K15+Datos!AE15)),IF(D_I="SI",Datos!K15,Datos!K15+Datos!AE15)," - ")</f>
        <v>1943</v>
      </c>
      <c r="H15" s="404">
        <f>IF(ISNUMBER(G15/B15),G15/B15," - ")</f>
        <v>647.66666666666663</v>
      </c>
      <c r="I15" s="403">
        <f>IF(ISNUMBER(IF(D_I="SI",Datos!L15,Datos!L15+Datos!AF15)),IF(D_I="SI",Datos!L15,Datos!L15+Datos!AF15)," - ")</f>
        <v>2680</v>
      </c>
      <c r="J15" s="404">
        <f>IF(ISNUMBER(I15/B15),I15/B15," - ")</f>
        <v>893.33333333333337</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399</v>
      </c>
      <c r="D17" s="404">
        <f>IF(ISNUMBER(C17/Datos!BH17),C17/Datos!BH17," - ")</f>
        <v>399</v>
      </c>
      <c r="E17" s="403">
        <f>IF(ISNUMBER(IF(D_I="SI",Datos!J17,Datos!J17+Datos!AD17)),IF(D_I="SI",Datos!J17,Datos!J17+Datos!AD17)," - ")</f>
        <v>451</v>
      </c>
      <c r="F17" s="404">
        <f>IF(ISNUMBER(E17/B17),E17/B17," - ")</f>
        <v>451</v>
      </c>
      <c r="G17" s="403">
        <f>IF(ISNUMBER(IF(D_I="SI",Datos!K17,Datos!K17+Datos!AE17)),IF(D_I="SI",Datos!K17,Datos!K17+Datos!AE17)," - ")</f>
        <v>498</v>
      </c>
      <c r="H17" s="404">
        <f>IF(ISNUMBER(G17/B17),G17/B17," - ")</f>
        <v>498</v>
      </c>
      <c r="I17" s="403">
        <f>IF(ISNUMBER(IF(D_I="SI",Datos!L17,Datos!L17+Datos!AF17)),IF(D_I="SI",Datos!L17,Datos!L17+Datos!AF17)," - ")</f>
        <v>352</v>
      </c>
      <c r="J17" s="404">
        <f>IF(ISNUMBER(I17/B17),I17/B17," - ")</f>
        <v>352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2824</v>
      </c>
      <c r="D18" s="850" t="str">
        <f>IF(ISNUMBER(C18/Datos!BI18),C18/Datos!BI18," - ")</f>
        <v xml:space="preserve"> - </v>
      </c>
      <c r="E18" s="849">
        <f>SUBTOTAL(9,E14:E17)</f>
        <v>2540</v>
      </c>
      <c r="F18" s="850">
        <f>IF(ISNUMBER(E18/B18),E18/B18," - ")</f>
        <v>635</v>
      </c>
      <c r="G18" s="849">
        <f>SUBTOTAL(9,G14:G17)</f>
        <v>2441</v>
      </c>
      <c r="H18" s="850">
        <f>IF(ISNUMBER(G18/B18),G18/B18," - ")</f>
        <v>610.25</v>
      </c>
      <c r="I18" s="849">
        <f>SUBTOTAL(9,I14:I17)</f>
        <v>3032</v>
      </c>
      <c r="J18" s="850">
        <f>IF(ISNUMBER(I18/B18),I18/B18," - ")</f>
        <v>758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10</v>
      </c>
      <c r="C19" s="794">
        <f>SUBTOTAL(9,C9:C18)</f>
        <v>9051</v>
      </c>
      <c r="D19" s="795" t="str">
        <f>IF(ISNUMBER(C19/Datos!BI19),C19/Datos!BI19," - ")</f>
        <v xml:space="preserve"> - </v>
      </c>
      <c r="E19" s="794">
        <f>SUBTOTAL(9,E9:E18)</f>
        <v>5473</v>
      </c>
      <c r="F19" s="795">
        <f>IF(ISNUMBER(E19/B19),E19/B19," - ")</f>
        <v>547.29999999999995</v>
      </c>
      <c r="G19" s="794">
        <f>SUBTOTAL(9,G9:G18)</f>
        <v>5298</v>
      </c>
      <c r="H19" s="795">
        <f>IF(ISNUMBER(G19/B19),G19/B19," - ")</f>
        <v>529.79999999999995</v>
      </c>
      <c r="I19" s="794">
        <f>SUBTOTAL(9,I9:I18)</f>
        <v>9340</v>
      </c>
      <c r="J19" s="795">
        <f>IF(ISNUMBER(I19/B19),I19/B19," - ")</f>
        <v>934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rIgEsHNnsHjErHzFYzI1cZCm7KPqVIrKdWiRS/dfhbJSnEqWrs4DzLou1Byc0iv3eGi3vTtrXRTP3LoAKY8Yrw==" saltValue="dZAfDPqe3rWWcZZih8LuX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TORRENT</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106</v>
      </c>
      <c r="G10" s="684">
        <f>IF(ISNUMBER(Datos!I10),Datos!I10," - ")</f>
        <v>106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17</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69</v>
      </c>
      <c r="AC10" s="683" t="str">
        <f>IF(ISNUMBER(IF(D_I="SI",DatosP!K17,DatosP!K17+DatosP!AE17)),IF(D_I="SI",DatosP!K17,DatosP!K17+DatosP!AE17)," - ")</f>
        <v xml:space="preserve"> - </v>
      </c>
      <c r="AD10" s="685"/>
      <c r="AE10" s="685"/>
      <c r="AF10" s="688">
        <f>IF(ISNUMBER(Datos!L10),Datos!L10,"-")</f>
        <v>103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30</v>
      </c>
      <c r="AM10" s="690">
        <f>IF(ISNUMBER(Datos!N10+DatosP!N17),Datos!N10+DatosP!N17," - ")</f>
        <v>26</v>
      </c>
      <c r="AN10" s="690">
        <f>IF(ISNUMBER(Datos!BW10+DatosP!BW17),Datos!BW10+DatosP!BW17," - ")</f>
        <v>0</v>
      </c>
      <c r="AO10" s="691">
        <f>IF(ISNUMBER(Datos!BX10+DatosP!BX17),Datos!BX10+DatosP!BX17," - ")</f>
        <v>0</v>
      </c>
      <c r="AP10" s="693">
        <f>IF(ISNUMBER(((Datos!L10/Datos!K10)*11)/factor_trimestre),((Datos!L10/Datos!K10)*11)/factor_trimestre," - ")</f>
        <v>4.4782608695652177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106</v>
      </c>
      <c r="G13" s="938">
        <f t="shared" si="0"/>
        <v>106</v>
      </c>
      <c r="H13" s="938">
        <f t="shared" si="0"/>
        <v>0</v>
      </c>
      <c r="I13" s="940">
        <f t="shared" si="0"/>
        <v>0</v>
      </c>
      <c r="J13" s="939">
        <f t="shared" si="0"/>
        <v>0</v>
      </c>
      <c r="K13" s="939">
        <f t="shared" si="0"/>
        <v>0</v>
      </c>
      <c r="L13" s="941">
        <f t="shared" si="0"/>
        <v>0</v>
      </c>
      <c r="M13" s="941">
        <f t="shared" si="0"/>
        <v>0</v>
      </c>
      <c r="N13" s="939">
        <f t="shared" si="0"/>
        <v>17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69</v>
      </c>
      <c r="AC13" s="939">
        <f t="shared" si="1"/>
        <v>0</v>
      </c>
      <c r="AD13" s="939">
        <f t="shared" si="1"/>
        <v>0</v>
      </c>
      <c r="AE13" s="939">
        <f t="shared" si="1"/>
        <v>0</v>
      </c>
      <c r="AF13" s="939">
        <f t="shared" si="1"/>
        <v>103</v>
      </c>
      <c r="AG13" s="939">
        <f t="shared" si="1"/>
        <v>0</v>
      </c>
      <c r="AH13" s="939">
        <f t="shared" si="1"/>
        <v>0</v>
      </c>
      <c r="AI13" s="939">
        <f t="shared" si="1"/>
        <v>0</v>
      </c>
      <c r="AJ13" s="939">
        <f t="shared" si="1"/>
        <v>0</v>
      </c>
      <c r="AK13" s="939">
        <f t="shared" si="1"/>
        <v>0</v>
      </c>
      <c r="AL13" s="939">
        <f t="shared" si="1"/>
        <v>30</v>
      </c>
      <c r="AM13" s="939">
        <f t="shared" si="1"/>
        <v>26</v>
      </c>
      <c r="AN13" s="939">
        <f t="shared" si="1"/>
        <v>0</v>
      </c>
      <c r="AO13" s="939">
        <f t="shared" si="1"/>
        <v>0</v>
      </c>
      <c r="AP13" s="944">
        <f>IF(ISNUMBER(((Datos!L13/Datos!K13)*11)/factor_trimestre),((Datos!L13/Datos!K13)*11)/factor_trimestre," - ")</f>
        <v>6.9866003062787136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-0.65094339622641506</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3.7263416632527648</v>
      </c>
      <c r="AQ18" s="944">
        <f>IF(ISNUMBER(((Datos!M18/Datos!L18)*11)/factor_trimestre),((Datos!M18/Datos!L18)*11)/factor_trimestre," - ")</f>
        <v>0.40666226912928766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-0.13559322033898305</v>
      </c>
      <c r="AW18" s="946">
        <f>IF(ISNUMBER((Datos!Q18-Datos!R18)/(Datos!S18-Datos!Q18+Datos!R18)),(Datos!Q18-Datos!R18)/(Datos!S18-Datos!Q18+Datos!R18)," - ")</f>
        <v>-0.10608108108108108</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106</v>
      </c>
      <c r="G19" s="951">
        <f t="shared" si="4"/>
        <v>106</v>
      </c>
      <c r="H19" s="951">
        <f t="shared" si="4"/>
        <v>0</v>
      </c>
      <c r="I19" s="952">
        <f t="shared" si="4"/>
        <v>0</v>
      </c>
      <c r="J19" s="953">
        <f t="shared" si="4"/>
        <v>0</v>
      </c>
      <c r="K19" s="953">
        <f t="shared" si="4"/>
        <v>0</v>
      </c>
      <c r="L19" s="953">
        <f t="shared" si="4"/>
        <v>0</v>
      </c>
      <c r="M19" s="953">
        <f t="shared" si="4"/>
        <v>0</v>
      </c>
      <c r="N19" s="952">
        <f t="shared" si="4"/>
        <v>17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69</v>
      </c>
      <c r="AC19" s="957">
        <f t="shared" si="5"/>
        <v>0</v>
      </c>
      <c r="AD19" s="957">
        <f t="shared" si="5"/>
        <v>0</v>
      </c>
      <c r="AE19" s="957">
        <f t="shared" si="5"/>
        <v>0</v>
      </c>
      <c r="AF19" s="958">
        <f t="shared" si="5"/>
        <v>103</v>
      </c>
      <c r="AG19" s="958">
        <f t="shared" si="5"/>
        <v>0</v>
      </c>
      <c r="AH19" s="958">
        <f t="shared" si="5"/>
        <v>0</v>
      </c>
      <c r="AI19" s="958">
        <f t="shared" si="5"/>
        <v>0</v>
      </c>
      <c r="AJ19" s="959">
        <f t="shared" si="5"/>
        <v>0</v>
      </c>
      <c r="AK19" s="959">
        <f t="shared" si="5"/>
        <v>0</v>
      </c>
      <c r="AL19" s="951">
        <f t="shared" si="5"/>
        <v>30</v>
      </c>
      <c r="AM19" s="951">
        <f t="shared" si="5"/>
        <v>26</v>
      </c>
      <c r="AN19" s="951">
        <f t="shared" si="5"/>
        <v>0</v>
      </c>
      <c r="AO19" s="951">
        <f t="shared" si="5"/>
        <v>0</v>
      </c>
      <c r="AP19" s="951">
        <f>IF(ISNUMBER(((Datos!L19/Datos!K19)*11)/factor_trimestre),((Datos!L19/Datos!K19)*11)/factor_trimestre," - ")</f>
        <v>5.4116366514941623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-0.65094339622641506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3.737985048059808E-3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70.666666666666671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3.2659863237109041</v>
      </c>
      <c r="F21" s="736">
        <f>IF(ISNUMBER(STDEV(F8:F18)),STDEV(F8:F18),"-")</f>
        <v>61.199128534100332</v>
      </c>
      <c r="G21" s="737">
        <f>IF(ISNUMBER(STDEV(G8:G18)),STDEV(G8:G18),"-")</f>
        <v>61.199128534100332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39.837168574084181</v>
      </c>
      <c r="AC21" s="738">
        <f>IF(ISNUMBER(STDEV(AC8:AC18)),STDEV(AC8:AC18),"-")</f>
        <v>0</v>
      </c>
      <c r="AD21" s="741"/>
      <c r="AE21" s="741"/>
      <c r="AF21" s="741"/>
      <c r="AG21" s="741"/>
      <c r="AH21" s="741"/>
      <c r="AI21" s="741"/>
      <c r="AJ21" s="742">
        <f>IF(ISNUMBER(STDEV(AJ8:AJ18)),STDEV(AJ8:AJ18),"-")</f>
        <v>0</v>
      </c>
      <c r="AK21" s="744"/>
      <c r="AL21" s="736">
        <f>IF(ISNUMBER(STDEV(AL8:AL18)),STDEV(AL8:AL18),"-")</f>
        <v>17.320508075688775</v>
      </c>
      <c r="AM21" s="736"/>
      <c r="AN21" s="736">
        <f>IF(ISNUMBER(STDEV(AN8:AN18)),STDEV(AN8:AN18),"-")</f>
        <v>0</v>
      </c>
      <c r="AO21" s="742">
        <f>IF(ISNUMBER(STDEV(AO8:AO18)),STDEV(AO8:AO18),"-")</f>
        <v>0</v>
      </c>
      <c r="AP21" s="779">
        <f>IF(ISNUMBER(STDEV(AP8:AP18)),STDEV(AP8:AP18),"-")</f>
        <v>1.7071631264576079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qfOk2aypx2TZyiy5/n8TjlApnxSmAUKrbWNdIolM/EF83r0fwQmK4LlDLQsx472mcqnDOwk5W/nBngt6wJp6gw==" saltValue="3OzYyjb7KKFarvUJw+Vc/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TORRENT</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5UEnQR3I740rQDRcGoheMMY/4FOQUqKWXMevQN9YW3HAhaYiuy9Cu45hU+shazOCPd0OxncWmkjxS2DGdAozjA==" saltValue="i/Z1joMjcYpIocueq35W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TORRENT</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599</v>
      </c>
      <c r="E9" s="404">
        <f t="shared" ref="E9:E13" si="0">IF(ISNUMBER(D9/B9),D9/B9," - ")</f>
        <v>99.833333333333329</v>
      </c>
      <c r="F9" s="403">
        <f>IF(ISNUMBER(Datos!N9),Datos!N9," - ")</f>
        <v>1262</v>
      </c>
      <c r="G9" s="404">
        <f t="shared" ref="G9:G13" si="1">IF(ISNUMBER(F9/B9),F9/B9," - ")</f>
        <v>210.33333333333334</v>
      </c>
      <c r="H9" s="403">
        <f>IF(ISNUMBER(Datos!O9),Datos!O9," - ")</f>
        <v>1301</v>
      </c>
      <c r="I9" s="404">
        <f>IF(ISNUMBER(H9/B9),H9/B9," - ")</f>
        <v>216.83333333333334</v>
      </c>
      <c r="BZ9" s="1186">
        <f>Datos!EZ9</f>
        <v>0</v>
      </c>
    </row>
    <row r="10" spans="1:78">
      <c r="A10" s="402" t="str">
        <f>Datos!A10</f>
        <v>Jdos. Violencia contra la mujer</v>
      </c>
      <c r="B10" s="427">
        <f>Datos!AO10</f>
        <v>1</v>
      </c>
      <c r="C10" s="410">
        <f>Datos!AQ10</f>
        <v>1</v>
      </c>
      <c r="D10" s="403">
        <f>IF(ISNUMBER(Datos!M10),Datos!M10," - ")</f>
        <v>30</v>
      </c>
      <c r="E10" s="404">
        <f>IF(ISNUMBER(D10/B10),D10/B10," - ")</f>
        <v>30</v>
      </c>
      <c r="F10" s="403">
        <f>IF(ISNUMBER(Datos!N10),Datos!N10," - ")</f>
        <v>26</v>
      </c>
      <c r="G10" s="404">
        <f>IF(ISNUMBER(F10/B10),F10/B10," - ")</f>
        <v>26</v>
      </c>
      <c r="H10" s="403">
        <f>IF(ISNUMBER(Datos!O10),Datos!O10," - ")</f>
        <v>22</v>
      </c>
      <c r="I10" s="404">
        <f t="shared" ref="I10:I12" si="2">IF(ISNUMBER(H10/B10),H10/B10," - ")</f>
        <v>22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7</v>
      </c>
      <c r="C13" s="851">
        <f>Datos!AR13</f>
        <v>7</v>
      </c>
      <c r="D13" s="849">
        <f>SUBTOTAL(9,D9:D12)</f>
        <v>629</v>
      </c>
      <c r="E13" s="850">
        <f t="shared" si="0"/>
        <v>89.857142857142861</v>
      </c>
      <c r="F13" s="849">
        <f>SUBTOTAL(9,F9:F12)</f>
        <v>1288</v>
      </c>
      <c r="G13" s="850">
        <f t="shared" si="1"/>
        <v>184</v>
      </c>
      <c r="H13" s="849">
        <f>SUBTOTAL(9,H9:H12)</f>
        <v>1323</v>
      </c>
      <c r="I13" s="850">
        <f>IF(ISNUMBER(H13/B13),H13/B13," - ")</f>
        <v>189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3</v>
      </c>
      <c r="C15" s="428">
        <f>Datos!AQ15</f>
        <v>3</v>
      </c>
      <c r="D15" s="403">
        <f>IF(ISNUMBER(Datos!M15),Datos!M15," - ")</f>
        <v>349</v>
      </c>
      <c r="E15" s="404">
        <f t="shared" ref="E15:E18" si="3">IF(ISNUMBER(D15/B15),D15/B15," - ")</f>
        <v>116.33333333333333</v>
      </c>
      <c r="F15" s="403">
        <f>IF(ISNUMBER(Datos!N15),Datos!N15," - ")</f>
        <v>952</v>
      </c>
      <c r="G15" s="404">
        <f t="shared" ref="G15:G18" si="4">IF(ISNUMBER(F15/B15),F15/B15," - ")</f>
        <v>317.33333333333331</v>
      </c>
      <c r="H15" s="403">
        <f>IF(ISNUMBER(Datos!O15),Datos!O15," - ")</f>
        <v>107</v>
      </c>
      <c r="I15" s="404">
        <f t="shared" ref="I15:I17" si="5">IF(ISNUMBER(H15/B15),H15/B15," - ")</f>
        <v>35.666666666666664</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62</v>
      </c>
      <c r="E17" s="404">
        <f>IF(ISNUMBER(D17/B17),D17/B17," - ")</f>
        <v>62</v>
      </c>
      <c r="F17" s="403">
        <f>IF(ISNUMBER(Datos!N17),Datos!N17," - ")</f>
        <v>260</v>
      </c>
      <c r="G17" s="404">
        <f>IF(ISNUMBER(F17/B17),F17/B17," - ")</f>
        <v>260</v>
      </c>
      <c r="H17" s="403">
        <f>IF(ISNUMBER(Datos!O17),Datos!O17," - ")</f>
        <v>16</v>
      </c>
      <c r="I17" s="404">
        <f t="shared" si="5"/>
        <v>16</v>
      </c>
      <c r="BZ17" s="1186">
        <f>Datos!EZ17</f>
        <v>0</v>
      </c>
    </row>
    <row r="18" spans="1:78" ht="14.25" thickTop="1" thickBot="1">
      <c r="A18" s="848" t="str">
        <f>Datos!A18</f>
        <v>TOTAL</v>
      </c>
      <c r="B18" s="849">
        <f>Datos!AP18</f>
        <v>4</v>
      </c>
      <c r="C18" s="851">
        <f>Datos!AR18</f>
        <v>4</v>
      </c>
      <c r="D18" s="849">
        <f>SUBTOTAL(9,D15:D17)</f>
        <v>411</v>
      </c>
      <c r="E18" s="850">
        <f t="shared" si="3"/>
        <v>102.75</v>
      </c>
      <c r="F18" s="849">
        <f>SUBTOTAL(9,F15:F17)</f>
        <v>1212</v>
      </c>
      <c r="G18" s="850">
        <f t="shared" si="4"/>
        <v>303</v>
      </c>
      <c r="H18" s="849">
        <f>SUBTOTAL(9,H15:H17)</f>
        <v>123</v>
      </c>
      <c r="I18" s="850">
        <f>IF(ISNUMBER(H18/B18),H18/B18," - ")</f>
        <v>30.75</v>
      </c>
      <c r="BZ18" s="1186"/>
    </row>
    <row r="19" spans="1:78" ht="14.25" thickTop="1" thickBot="1">
      <c r="A19" s="793" t="str">
        <f>Datos!A19</f>
        <v>TOTAL JURISDICCIONES</v>
      </c>
      <c r="B19" s="794">
        <f>Datos!AP19</f>
        <v>10</v>
      </c>
      <c r="C19" s="794">
        <f>Datos!AR19</f>
        <v>10</v>
      </c>
      <c r="D19" s="794">
        <f>SUBTOTAL(9,D8:D18)</f>
        <v>1040</v>
      </c>
      <c r="E19" s="795">
        <f>IF(ISNUMBER(D19/B19),D19/B19," - ")</f>
        <v>104</v>
      </c>
      <c r="F19" s="794">
        <f>SUBTOTAL(9,F8:F18)</f>
        <v>2500</v>
      </c>
      <c r="G19" s="795">
        <f>IF(ISNUMBER(F19/B19),F19/B19," - ")</f>
        <v>250</v>
      </c>
      <c r="H19" s="794">
        <f>SUBTOTAL(9,H8:H18)</f>
        <v>1446</v>
      </c>
      <c r="I19" s="795">
        <f>IF(ISNUMBER(H19/B19),H19/B19," - ")</f>
        <v>144.6</v>
      </c>
    </row>
    <row r="22" spans="1:78">
      <c r="A22" s="391" t="str">
        <f>Criterios!A4</f>
        <v>Fecha Informe: 03 jun. 2025</v>
      </c>
    </row>
    <row r="27" spans="1:78">
      <c r="A27" s="414"/>
    </row>
  </sheetData>
  <sheetProtection algorithmName="SHA-512" hashValue="2+pYUiieMOqzWjvwMbSXhvYc6lD2tvOFfz5LVaPKPfrzbjPCHmREv9BBTpZ3j5eOS15EunWx0gjNZGELFKqdJQ==" saltValue="DFTar1B9cqfnKcf7ZP5k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TORRENT</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606</v>
      </c>
      <c r="C9" s="434">
        <f>IF(ISNUMBER(Datos!Q9),Datos!Q9," - ")</f>
        <v>491</v>
      </c>
      <c r="D9" s="408">
        <f>IF(ISNUMBER(Datos!R9),Datos!R9," - ")</f>
        <v>10694</v>
      </c>
    </row>
    <row r="10" spans="1:4">
      <c r="A10" s="402" t="str">
        <f>Datos!A10</f>
        <v>Jdos. Violencia contra la mujer</v>
      </c>
      <c r="B10" s="433">
        <f>IF(ISNUMBER(Datos!P10),Datos!P10," - ")</f>
        <v>17</v>
      </c>
      <c r="C10" s="434">
        <f>IF(ISNUMBER(Datos!Q10),Datos!Q10," - ")</f>
        <v>10</v>
      </c>
      <c r="D10" s="408">
        <f>IF(ISNUMBER(Datos!R10),Datos!R10," - ")</f>
        <v>74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623</v>
      </c>
      <c r="C13" s="853">
        <f>SUBTOTAL(9,C9:C12)</f>
        <v>501</v>
      </c>
      <c r="D13" s="851">
        <f>SUBTOTAL(9,D9:D12)</f>
        <v>10768</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101</v>
      </c>
      <c r="C15" s="434">
        <f>IF(ISNUMBER(Datos!Q15),Datos!Q15," - ")</f>
        <v>178</v>
      </c>
      <c r="D15" s="408">
        <f>IF(ISNUMBER(Datos!R15),Datos!R15," - ")</f>
        <v>488</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15</v>
      </c>
      <c r="C17" s="434">
        <f>IF(ISNUMBER(Datos!Q17),Datos!Q17," - ")</f>
        <v>18</v>
      </c>
      <c r="D17" s="408">
        <f>IF(ISNUMBER(Datos!R17),Datos!R17," - ")</f>
        <v>22</v>
      </c>
    </row>
    <row r="18" spans="1:4" ht="14.25" thickTop="1" thickBot="1">
      <c r="A18" s="848" t="str">
        <f>Datos!A18</f>
        <v>TOTAL</v>
      </c>
      <c r="B18" s="849">
        <f>SUBTOTAL(9,B15:B17)</f>
        <v>116</v>
      </c>
      <c r="C18" s="853">
        <f>SUBTOTAL(9,C15:C17)</f>
        <v>196</v>
      </c>
      <c r="D18" s="851">
        <f>SUBTOTAL(9,D15:D17)</f>
        <v>510</v>
      </c>
    </row>
    <row r="19" spans="1:4" ht="16.5" customHeight="1" thickTop="1" thickBot="1">
      <c r="A19" s="793" t="str">
        <f>Datos!A19</f>
        <v>TOTAL JURISDICCIONES</v>
      </c>
      <c r="B19" s="798">
        <f>SUBTOTAL(9,B8:B18)</f>
        <v>739</v>
      </c>
      <c r="C19" s="799">
        <f>SUBTOTAL(9,C8:C18)</f>
        <v>697</v>
      </c>
      <c r="D19" s="800">
        <f>SUBTOTAL(9,D8:D18)</f>
        <v>11278</v>
      </c>
    </row>
    <row r="20" spans="1:4" ht="7.5" customHeight="1"/>
    <row r="21" spans="1:4" ht="6" customHeight="1"/>
    <row r="22" spans="1:4">
      <c r="A22" s="391" t="str">
        <f>Criterios!A4</f>
        <v>Fecha Informe: 03 jun. 2025</v>
      </c>
    </row>
    <row r="27" spans="1:4">
      <c r="A27" s="414"/>
    </row>
  </sheetData>
  <sheetProtection algorithmName="SHA-512" hashValue="ezYeXXn2wNLA0ck7Bbz54QllvmVssjGl03veSSudHTk9Ml+3me1hR09NN/tpZ3b2Ko3MDRFBPzwOi29qVZ82Kg==" saltValue="Sh1lvv6u7H9c9Qy0sV8L3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TORRENT</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0.17327966264136477</v>
      </c>
      <c r="C9" s="456">
        <f>IF(ISNUMBER(
   IF(J_V="SI",(Datos!J9-Datos!T9)/Datos!T9,(Datos!J9+Datos!Z9-(Datos!T9+Datos!AH9))/(Datos!T9+Datos!AH9))
     ),IF(J_V="SI",(Datos!J9-Datos!T9)/Datos!T9,(Datos!J9+Datos!Z9-(Datos!T9+Datos!AH9))/(Datos!T9+Datos!AH9))," - ")</f>
        <v>-0.15775558166862513</v>
      </c>
      <c r="D9" s="456">
        <f>IF(ISNUMBER(
   IF(J_V="SI",(Datos!K9-Datos!U9)/Datos!U9,(Datos!K9+Datos!AA9-(Datos!U9+Datos!AI9))/(Datos!U9+Datos!AI9))
     ),IF(J_V="SI",(Datos!K9-Datos!U9)/Datos!U9,(Datos!K9+Datos!AA9-(Datos!U9+Datos!AI9))/(Datos!U9+Datos!AI9))," - ")</f>
        <v>-3.6627505183137524E-2</v>
      </c>
      <c r="E9" s="456">
        <f>IF(ISNUMBER(
   IF(J_V="SI",(Datos!L9-Datos!V9)/Datos!V9,(Datos!L9+Datos!AB9-(Datos!V9+Datos!AJ9))/(Datos!V9+Datos!AJ9))
     ),IF(J_V="SI",(Datos!L9-Datos!V9)/Datos!V9,(Datos!L9+Datos!AB9-(Datos!V9+Datos!AJ9))/(Datos!V9+Datos!AJ9))," - ")</f>
        <v>8.3464291950410344E-2</v>
      </c>
      <c r="F9" s="456">
        <f>IF(ISNUMBER((Datos!M9-Datos!W9)/Datos!W9),(Datos!M9-Datos!W9)/Datos!W9," - ")</f>
        <v>-4.9206349206349205E-2</v>
      </c>
      <c r="G9" s="457">
        <f>IF(ISNUMBER((Datos!N9-Datos!X9)/Datos!X9),(Datos!N9-Datos!X9)/Datos!X9," - ")</f>
        <v>1.9386106623586429E-2</v>
      </c>
      <c r="H9" s="455">
        <f>IF(ISNUMBER(((NºAsuntos!G9/NºAsuntos!E9)-Datos!BD9)/Datos!BD9),((NºAsuntos!G9/NºAsuntos!E9)-Datos!BD9)/Datos!BD9," - ")</f>
        <v>0.14381582572605506</v>
      </c>
      <c r="I9" s="456">
        <f>IF(ISNUMBER(((NºAsuntos!I9/NºAsuntos!G9)-Datos!BE9)/Datos!BE9),((NºAsuntos!I9/NºAsuntos!G9)-Datos!BE9)/Datos!BE9," - ")</f>
        <v>0.12465769759845315</v>
      </c>
      <c r="J9" s="461">
        <f>IF(ISNUMBER((('Resol  Asuntos'!D9/NºAsuntos!G9)-Datos!BF9)/Datos!BF9),(('Resol  Asuntos'!D9/NºAsuntos!G9)-Datos!BF9)/Datos!BF9," - ")</f>
        <v>-0.49775926368025442</v>
      </c>
      <c r="K9" s="462">
        <f>IF(ISNUMBER((((NºAsuntos!C9+NºAsuntos!E9)/NºAsuntos!G9)-Datos!BG9)/Datos!BG9),(((NºAsuntos!C9+NºAsuntos!E9)/NºAsuntos!G9)-Datos!BG9)/Datos!BG9," - ")</f>
        <v>8.2209086383937521E-2</v>
      </c>
    </row>
    <row r="10" spans="1:11">
      <c r="A10" s="402" t="str">
        <f>Datos!A10</f>
        <v>Jdos. Violencia contra la mujer</v>
      </c>
      <c r="B10" s="455">
        <f>IF(ISNUMBER((Datos!I10-Datos!S10)/Datos!S10),(Datos!I10-Datos!S10)/Datos!S10," - ")</f>
        <v>0</v>
      </c>
      <c r="C10" s="456">
        <f>IF(ISNUMBER((Datos!J10-Datos!T10)/Datos!T10),(Datos!J10-Datos!T10)/Datos!T10," - ")</f>
        <v>-0.34653465346534651</v>
      </c>
      <c r="D10" s="456">
        <f>IF(ISNUMBER((Datos!K10-Datos!U10)/Datos!U10),(Datos!K10-Datos!U10)/Datos!U10," - ")</f>
        <v>-0.21590909090909091</v>
      </c>
      <c r="E10" s="456">
        <f>IF(ISNUMBER((Datos!L10-Datos!V10)/Datos!V10),(Datos!L10-Datos!V10)/Datos!V10," - ")</f>
        <v>-0.13445378151260504</v>
      </c>
      <c r="F10" s="456">
        <f>IF(ISNUMBER((Datos!M10-Datos!W10)/Datos!W10),(Datos!M10-Datos!W10)/Datos!W10," - ")</f>
        <v>0.36363636363636365</v>
      </c>
      <c r="G10" s="457">
        <f>IF(ISNUMBER((Datos!N10-Datos!X10)/Datos!X10),(Datos!N10-Datos!X10)/Datos!X10," - ")</f>
        <v>-0.29729729729729731</v>
      </c>
      <c r="H10" s="455">
        <f>IF(ISNUMBER(((NºAsuntos!G10/NºAsuntos!E10)-Datos!BD10)/Datos!BD10),((NºAsuntos!G10/NºAsuntos!E10)-Datos!BD10)/Datos!BD10," - ")</f>
        <v>0.19989669421487599</v>
      </c>
      <c r="I10" s="456">
        <f>IF(ISNUMBER(((NºAsuntos!I10/NºAsuntos!G10)-Datos!BE10)/Datos!BE10),((NºAsuntos!I10/NºAsuntos!G10)-Datos!BE10)/Datos!BE10," - ")</f>
        <v>0.10388503227377904</v>
      </c>
      <c r="J10" s="461">
        <f>IF(ISNUMBER((('Resol  Asuntos'!D10/NºAsuntos!G10)-Datos!BF10)/Datos!BF10),(('Resol  Asuntos'!D10/NºAsuntos!G10)-Datos!BF10)/Datos!BF10," - ")</f>
        <v>0.73913043478260865</v>
      </c>
      <c r="K10" s="462">
        <f>IF(ISNUMBER((((NºAsuntos!C10+NºAsuntos!E10)/NºAsuntos!G10)-Datos!BG10)/Datos!BG10),(((NºAsuntos!C10+NºAsuntos!E10)/NºAsuntos!G10)-Datos!BG10)/Datos!BG10," - ")</f>
        <v>5.9721347055940704E-2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0.16982904377230884</v>
      </c>
      <c r="C13" s="855">
        <f>IF(ISNUMBER(
   IF(J_V="SI",(Datos!J13-Datos!T13)/Datos!T13,(Datos!J13+Datos!Z13-(Datos!T13+Datos!AH13))/(Datos!T13+Datos!AH13))
     ),IF(J_V="SI",(Datos!J13-Datos!T13)/Datos!T13,(Datos!J13+Datos!Z13-(Datos!T13+Datos!AH13))/(Datos!T13+Datos!AH13))," - ")</f>
        <v>-0.16319543509272469</v>
      </c>
      <c r="D13" s="855">
        <f>IF(ISNUMBER(
   IF(J_V="SI",(Datos!K13-Datos!U13)/Datos!U13,(Datos!K13+Datos!AA13-(Datos!U13+Datos!AI13))/(Datos!U13+Datos!AI13))
     ),IF(J_V="SI",(Datos!K13-Datos!U13)/Datos!U13,(Datos!K13+Datos!AA13-(Datos!U13+Datos!AI13))/(Datos!U13+Datos!AI13))," - ")</f>
        <v>-4.1918175720992622E-2</v>
      </c>
      <c r="E13" s="855">
        <f>IF(ISNUMBER(
   IF(J_V="SI",(Datos!L13-Datos!V13)/Datos!V13,(Datos!L13+Datos!AB13-(Datos!V13+Datos!AJ13))/(Datos!V13+Datos!AJ13))
     ),IF(J_V="SI",(Datos!L13-Datos!V13)/Datos!V13,(Datos!L13+Datos!AB13-(Datos!V13+Datos!AJ13))/(Datos!V13+Datos!AJ13))," - ")</f>
        <v>7.9028395484091685E-2</v>
      </c>
      <c r="F13" s="856">
        <f>IF(ISNUMBER((Datos!M13-Datos!W13)/Datos!W13),(Datos!M13-Datos!W13)/Datos!W13," - ")</f>
        <v>-3.5276073619631899E-2</v>
      </c>
      <c r="G13" s="857">
        <f>IF(ISNUMBER((Datos!N13-Datos!X13)/Datos!X13),(Datos!N13-Datos!X13)/Datos!X13," - ")</f>
        <v>1.019607843137255E-2</v>
      </c>
      <c r="H13" s="857">
        <f>IF(ISNUMBER(((NºAsuntos!G13/NºAsuntos!E13)-Datos!BD13)/Datos!BD13),((NºAsuntos!G13/NºAsuntos!E13)-Datos!BD13)/Datos!BD13," - ")</f>
        <v>0.1449290126484559</v>
      </c>
      <c r="I13" s="857">
        <f>IF(ISNUMBER(((NºAsuntos!I13/NºAsuntos!G13)-Datos!BE13)/Datos!BE13),((NºAsuntos!I13/NºAsuntos!G13)-Datos!BE13)/Datos!BE13," - ")</f>
        <v>0.1262382482791605</v>
      </c>
      <c r="J13" s="857">
        <f>IF(ISNUMBER((('Resol  Asuntos'!D13/NºAsuntos!G13)-Datos!BF13)/Datos!BF13),(('Resol  Asuntos'!D13/NºAsuntos!G13)-Datos!BF13)/Datos!BF13," - ")</f>
        <v>-0.47895228094738074</v>
      </c>
      <c r="K13" s="857">
        <f>IF(ISNUMBER((((NºAsuntos!C13+NºAsuntos!E13)/NºAsuntos!G13)-Datos!BG13)/Datos!BG13),(((NºAsuntos!C13+NºAsuntos!E13)/NºAsuntos!G13)-Datos!BG13)/Datos!BG13," - ")</f>
        <v>8.3005215054590464E-2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7.8736654804270459E-2</v>
      </c>
      <c r="C15" s="456">
        <f>IF(ISNUMBER(
   IF(D_I="SI",(Datos!J15-Datos!T15)/Datos!T15,(Datos!J15+Datos!AD15-(Datos!T15+Datos!AL15))/(Datos!T15+Datos!AL15))
     ),IF(D_I="SI",(Datos!J15-Datos!T15)/Datos!T15,(Datos!J15+Datos!AD15-(Datos!T15+Datos!AL15))/(Datos!T15+Datos!AL15))," - ")</f>
        <v>-7.4435090828533446E-2</v>
      </c>
      <c r="D15" s="456">
        <f>IF(ISNUMBER(
   IF(D_I="SI",(Datos!K15-Datos!U15)/Datos!U15,(Datos!K15+Datos!AE15-(Datos!U15+Datos!AM15))/(Datos!U15+Datos!AM15))
     ),IF(D_I="SI",(Datos!K15-Datos!U15)/Datos!U15,(Datos!K15+Datos!AE15-(Datos!U15+Datos!AM15))/(Datos!U15+Datos!AM15))," - ")</f>
        <v>-0.14405286343612334</v>
      </c>
      <c r="E15" s="456">
        <f>IF(ISNUMBER(
   IF(D_I="SI",(Datos!L15-Datos!V15)/Datos!V15,(Datos!L15+Datos!AF15-(Datos!V15+Datos!AN15))/(Datos!V15+Datos!AN15))
     ),IF(D_I="SI",(Datos!L15-Datos!V15)/Datos!V15,(Datos!L15+Datos!AF15-(Datos!V15+Datos!AN15))/(Datos!V15+Datos!AN15))," - ")</f>
        <v>0.19910514541387025</v>
      </c>
      <c r="F15" s="456">
        <f>IF(ISNUMBER((Datos!M15-Datos!W15)/Datos!W15),(Datos!M15-Datos!W15)/Datos!W15," - ")</f>
        <v>-0.2920892494929006</v>
      </c>
      <c r="G15" s="457">
        <f>IF(ISNUMBER((Datos!N15-Datos!X15)/Datos!X15),(Datos!N15-Datos!X15)/Datos!X15," - ")</f>
        <v>1.7094017094017096E-2</v>
      </c>
      <c r="H15" s="455">
        <f>IF(ISNUMBER(((NºAsuntos!G15/NºAsuntos!E15)-Datos!BD15)/Datos!BD15),((NºAsuntos!G15/NºAsuntos!E15)-Datos!BD15)/Datos!BD15," - ")</f>
        <v>-7.5216521194509611E-2</v>
      </c>
      <c r="I15" s="456">
        <f>IF(ISNUMBER(((NºAsuntos!I15/NºAsuntos!G15)-Datos!BE15)/Datos!BE15),((NºAsuntos!I15/NºAsuntos!G15)-Datos!BE15)/Datos!BE15," - ")</f>
        <v>0.40091028311347693</v>
      </c>
      <c r="J15" s="461">
        <f>IF(ISNUMBER((('Resol  Asuntos'!D15/NºAsuntos!G15)-Datos!BF15)/Datos!BF15),(('Resol  Asuntos'!D15/NºAsuntos!G15)-Datos!BF15)/Datos!BF15," - ")</f>
        <v>-0.17295038412191674</v>
      </c>
      <c r="K15" s="462">
        <f>IF(ISNUMBER((((NºAsuntos!C15+NºAsuntos!E15)/NºAsuntos!G15)-Datos!BG15)/Datos!BG15),(((NºAsuntos!C15+NºAsuntos!E15)/NºAsuntos!G15)-Datos!BG15)/Datos!BG15," - ")</f>
        <v>0.17063044835526148</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2.5125628140703518E-3</v>
      </c>
      <c r="C17" s="456">
        <f>IF(ISNUMBER(
   IF(D_I="SI",(Datos!J17-Datos!T17)/Datos!T17,(Datos!J17+Datos!AD17-(Datos!T17+Datos!AL17))/(Datos!T17+Datos!AL17))
     ),IF(D_I="SI",(Datos!J17-Datos!T17)/Datos!T17,(Datos!J17+Datos!AD17-(Datos!T17+Datos!AL17))/(Datos!T17+Datos!AL17))," - ")</f>
        <v>0.20911528150134048</v>
      </c>
      <c r="D17" s="456">
        <f>IF(ISNUMBER(
   IF(D_I="SI",(Datos!K17-Datos!U17)/Datos!U17,(Datos!K17+Datos!AE17-(Datos!U17+Datos!AM17))/(Datos!U17+Datos!AM17))
     ),IF(D_I="SI",(Datos!K17-Datos!U17)/Datos!U17,(Datos!K17+Datos!AE17-(Datos!U17+Datos!AM17))/(Datos!U17+Datos!AM17))," - ")</f>
        <v>0.6064516129032258</v>
      </c>
      <c r="E17" s="456">
        <f>IF(ISNUMBER(
   IF(D_I="SI",(Datos!L17-Datos!V17)/Datos!V17,(Datos!L17+Datos!AF17-(Datos!V17+Datos!AN17))/(Datos!V17+Datos!AN17))
     ),IF(D_I="SI",(Datos!L17-Datos!V17)/Datos!V17,(Datos!L17+Datos!AF17-(Datos!V17+Datos!AN17))/(Datos!V17+Datos!AN17))," - ")</f>
        <v>-0.2413793103448276</v>
      </c>
      <c r="F17" s="456">
        <f>IF(ISNUMBER((Datos!M17-Datos!W17)/Datos!W17),(Datos!M17-Datos!W17)/Datos!W17," - ")</f>
        <v>-0.11428571428571428</v>
      </c>
      <c r="G17" s="457">
        <f>IF(ISNUMBER((Datos!N17-Datos!X17)/Datos!X17),(Datos!N17-Datos!X17)/Datos!X17," - ")</f>
        <v>1</v>
      </c>
      <c r="H17" s="455">
        <f>IF(ISNUMBER(((NºAsuntos!G17/NºAsuntos!E17)-Datos!BD17)/Datos!BD17),((NºAsuntos!G17/NºAsuntos!E17)-Datos!BD17)/Datos!BD17," - ")</f>
        <v>0.32861740934124889</v>
      </c>
      <c r="I17" s="456">
        <f>IF(ISNUMBER(((NºAsuntos!I17/NºAsuntos!G17)-Datos!BE17)/Datos!BE17),((NºAsuntos!I17/NºAsuntos!G17)-Datos!BE17)/Datos!BE17," - ")</f>
        <v>-0.52776623736324613</v>
      </c>
      <c r="J17" s="461">
        <f>IF(ISNUMBER((('Resol  Asuntos'!D17/NºAsuntos!G17)-Datos!BF17)/Datos!BF17),(('Resol  Asuntos'!D17/NºAsuntos!G17)-Datos!BF17)/Datos!BF17," - ")</f>
        <v>-0.44865174985656914</v>
      </c>
      <c r="K17" s="462">
        <f>IF(ISNUMBER((((NºAsuntos!C17+NºAsuntos!E17)/NºAsuntos!G17)-Datos!BG17)/Datos!BG17),(((NºAsuntos!C17+NºAsuntos!E17)/NºAsuntos!G17)-Datos!BG17)/Datos!BG17," - ")</f>
        <v>-0.31372702222638943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6.7271352985638702E-2</v>
      </c>
      <c r="C18" s="855">
        <f>IF(ISNUMBER(
   IF(Criterios!B14="SI",(Datos!J18-Datos!T18)/Datos!T18,(Datos!J18+Datos!AD18-(Datos!T18+Datos!AL18))/(Datos!T18+Datos!AL18))
     ),IF(Criterios!B14="SI",(Datos!J18-Datos!T18)/Datos!T18,(Datos!J18+Datos!AD18-(Datos!T18+Datos!AL18))/(Datos!T18+Datos!AL18))," - ")</f>
        <v>-3.4220532319391636E-2</v>
      </c>
      <c r="D18" s="855">
        <f>IF(ISNUMBER(
   IF(Criterios!B14="SI",(Datos!K18-Datos!U18)/Datos!U18,(Datos!K18+Datos!AE18-(Datos!U18+Datos!AM18))/(Datos!U18+Datos!AM18))
     ),IF(Criterios!B14="SI",(Datos!K18-Datos!U18)/Datos!U18,(Datos!K18+Datos!AE18-(Datos!U18+Datos!AM18))/(Datos!U18+Datos!AM18))," - ")</f>
        <v>-5.3875968992248065E-2</v>
      </c>
      <c r="E18" s="855">
        <f>IF(ISNUMBER(
   IF(Criterios!B14="SI",(Datos!L18-Datos!V18)/Datos!V18,(Datos!L18+Datos!AF18-(Datos!V18+Datos!AN18))/(Datos!V18+Datos!AN18))
     ),IF(Criterios!B14="SI",(Datos!L18-Datos!V18)/Datos!V18,(Datos!L18+Datos!AF18-(Datos!V18+Datos!AN18))/(Datos!V18+Datos!AN18))," - ")</f>
        <v>0.12337902927010004</v>
      </c>
      <c r="F18" s="856">
        <f>IF(ISNUMBER((Datos!M18-Datos!W18)/Datos!W18),(Datos!M18-Datos!W18)/Datos!W18," - ")</f>
        <v>-0.26998223801065718</v>
      </c>
      <c r="G18" s="857">
        <f>IF(ISNUMBER((Datos!N18-Datos!X18)/Datos!X18),(Datos!N18-Datos!X18)/Datos!X18," - ")</f>
        <v>0.13696060037523453</v>
      </c>
      <c r="H18" s="857">
        <f>IF(ISNUMBER(((NºAsuntos!G18/NºAsuntos!E18)-Datos!BD18)/Datos!BD18),((NºAsuntos!G18/NºAsuntos!E18)-Datos!BD18)/Datos!BD18," - ")</f>
        <v>-2.0351889153390632E-2</v>
      </c>
      <c r="I18" s="857">
        <f>IF(ISNUMBER(((NºAsuntos!I18/NºAsuntos!G18)-Datos!BE18)/Datos!BE18),((NºAsuntos!I18/NºAsuntos!G18)-Datos!BE18)/Datos!BE18," - ")</f>
        <v>0.18734858480821706</v>
      </c>
      <c r="J18" s="857">
        <f>IF(ISNUMBER((('Resol  Asuntos'!D18/NºAsuntos!G18)-Datos!BF18)/Datos!BF18),(('Resol  Asuntos'!D18/NºAsuntos!G18)-Datos!BF18)/Datos!BF18," - ")</f>
        <v>-0.22841219748770805</v>
      </c>
      <c r="K18" s="857">
        <f>IF(ISNUMBER((((NºAsuntos!C18+NºAsuntos!E18)/NºAsuntos!G18)-Datos!BG18)/Datos!BG18),(((NºAsuntos!C18+NºAsuntos!E18)/NºAsuntos!G18)-Datos!BG18)/Datos!BG18," - ")</f>
        <v>7.4572962087214353E-2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0.13577613251348977</v>
      </c>
      <c r="C19" s="802">
        <f>IF(ISNUMBER(
   IF(J_V="SI",(Datos!J19-Datos!T19)/Datos!T19,(Datos!J19+Datos!Z19-(Datos!T19+Datos!AH19))/(Datos!T19+Datos!AH19))
     ),IF(J_V="SI",(Datos!J19-Datos!T19)/Datos!T19,(Datos!J19+Datos!Z19-(Datos!T19+Datos!AH19))/(Datos!T19+Datos!AH19))," - ")</f>
        <v>-0.10790546047269764</v>
      </c>
      <c r="D19" s="802">
        <f>IF(ISNUMBER(
   IF(J_V="SI",(Datos!K19-Datos!U19)/Datos!U19,(Datos!K19+Datos!AA19-(Datos!U19+Datos!AI19))/(Datos!U19+Datos!AI19))
     ),IF(J_V="SI",(Datos!K19-Datos!U19)/Datos!U19,(Datos!K19+Datos!AA19-(Datos!U19+Datos!AI19))/(Datos!U19+Datos!AI19))," - ")</f>
        <v>-4.7464940668824167E-2</v>
      </c>
      <c r="E19" s="802">
        <f>IF(ISNUMBER(
   IF(J_V="SI",(Datos!L19-Datos!V19)/Datos!V19,(Datos!L19+Datos!AB19-(Datos!V19+Datos!AJ19))/(Datos!V19+Datos!AJ19))
     ),IF(J_V="SI",(Datos!L19-Datos!V19)/Datos!V19,(Datos!L19+Datos!AB19-(Datos!V19+Datos!AJ19))/(Datos!V19+Datos!AJ19))," - ")</f>
        <v>9.3036863662960795E-2</v>
      </c>
      <c r="F19" s="803">
        <f>IF(ISNUMBER((Datos!M19-Datos!W19)/Datos!W19),(Datos!M19-Datos!W19)/Datos!W19," - ")</f>
        <v>-0.1440329218106996</v>
      </c>
      <c r="G19" s="804">
        <f>IF(ISNUMBER((Datos!N19-Datos!X19)/Datos!X19),(Datos!N19-Datos!X19)/Datos!X19," - ")</f>
        <v>6.7919692439128584E-2</v>
      </c>
      <c r="H19" s="805">
        <f>IF(ISNUMBER((Tasas!B19-Datos!BD19)/Datos!BD19),(Tasas!B19-Datos!BD19)/Datos!BD19," - ")</f>
        <v>6.7751249588299547E-2</v>
      </c>
      <c r="I19" s="806">
        <f>IF(ISNUMBER((Tasas!C19-Datos!BE19)/Datos!BE19),(Tasas!C19-Datos!BE19)/Datos!BE19," - ")</f>
        <v>0.14750302674469384</v>
      </c>
      <c r="J19" s="807">
        <f>IF(ISNUMBER((Tasas!D19-Datos!BF19)/Datos!BF19),(Tasas!D19-Datos!BF19)/Datos!BF19," - ")</f>
        <v>-0.40108429536021734</v>
      </c>
      <c r="K19" s="807">
        <f>IF(ISNUMBER((Tasas!E19-Datos!BG19)/Datos!BG19),(Tasas!E19-Datos!BG19)/Datos!BG19," - ")</f>
        <v>8.1092791359318184E-2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OiVUX0LSvhqXVQMOj5PEPLQuVv45rUiSogp8Jb57IcgbaLcDC8anPiw4VXhyjcLBbavY5ljYtxX7m/MDwx2O0w==" saltValue="ZROZ1E9cCnEaYioEWTbR3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TORRENT</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0.97244506452738055</v>
      </c>
      <c r="C9" s="443">
        <f>IF(ISNUMBER(NºAsuntos!I9/NºAsuntos!G9),NºAsuntos!I9/NºAsuntos!G9," - ")</f>
        <v>2.225609756097561</v>
      </c>
      <c r="D9" s="444">
        <f>IF(ISNUMBER('Resol  Asuntos'!D9/NºAsuntos!G9),'Resol  Asuntos'!D9/NºAsuntos!G9," - ")</f>
        <v>0.2148493543758967</v>
      </c>
      <c r="E9" s="445">
        <f>IF(ISNUMBER((NºAsuntos!C9+NºAsuntos!E9)/NºAsuntos!G9),(NºAsuntos!C9+NºAsuntos!E9)/NºAsuntos!G9," - ")</f>
        <v>3.2238163558106168</v>
      </c>
      <c r="G9" s="463"/>
    </row>
    <row r="10" spans="1:7">
      <c r="A10" s="402" t="str">
        <f>Datos!A10</f>
        <v>Jdos. Violencia contra la mujer</v>
      </c>
      <c r="B10" s="442">
        <f>IF(ISNUMBER(NºAsuntos!G10/NºAsuntos!E10),NºAsuntos!G10/NºAsuntos!E10," - ")</f>
        <v>1.0454545454545454</v>
      </c>
      <c r="C10" s="443">
        <f>IF(ISNUMBER(NºAsuntos!I10/NºAsuntos!G10),NºAsuntos!I10/NºAsuntos!G10," - ")</f>
        <v>1.4927536231884058</v>
      </c>
      <c r="D10" s="444">
        <f>IF(ISNUMBER('Resol  Asuntos'!D10/NºAsuntos!G10),'Resol  Asuntos'!D10/NºAsuntos!G10," - ")</f>
        <v>0.43478260869565216</v>
      </c>
      <c r="E10" s="445">
        <f>IF(ISNUMBER((NºAsuntos!C10+NºAsuntos!E10)/NºAsuntos!G10),(NºAsuntos!C10+NºAsuntos!E10)/NºAsuntos!G10," - ")</f>
        <v>2.4927536231884058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0.97408796454142521</v>
      </c>
      <c r="C13" s="859">
        <f>IF(ISNUMBER(NºAsuntos!I13/NºAsuntos!G13),NºAsuntos!I13/NºAsuntos!G13," - ")</f>
        <v>2.2079103955197761</v>
      </c>
      <c r="D13" s="860">
        <f>IF(ISNUMBER('Resol  Asuntos'!D13/NºAsuntos!G13),'Resol  Asuntos'!D13/NºAsuntos!G13," - ")</f>
        <v>0.22016100805040251</v>
      </c>
      <c r="E13" s="861">
        <f>IF(ISNUMBER((NºAsuntos!C13+NºAsuntos!E13)/NºAsuntos!G13),(NºAsuntos!C13+NºAsuntos!E13)/NºAsuntos!G13," - ")</f>
        <v>3.2061603080154009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0.93011010052656773</v>
      </c>
      <c r="C15" s="443">
        <f>IF(ISNUMBER(NºAsuntos!I15/NºAsuntos!G15),NºAsuntos!I15/NºAsuntos!G15," - ")</f>
        <v>1.3793103448275863</v>
      </c>
      <c r="D15" s="444">
        <f>IF(ISNUMBER('Resol  Asuntos'!D15/NºAsuntos!G15),'Resol  Asuntos'!D15/NºAsuntos!G15," - ")</f>
        <v>0.17961914565105508</v>
      </c>
      <c r="E15" s="445">
        <f>IF(ISNUMBER((NºAsuntos!C15+NºAsuntos!E15)/NºAsuntos!G15),(NºAsuntos!C15+NºAsuntos!E15)/NºAsuntos!G15," - ")</f>
        <v>2.3232115285640762</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1.1042128603104213</v>
      </c>
      <c r="C17" s="443">
        <f>IF(ISNUMBER(NºAsuntos!I17/NºAsuntos!G17),NºAsuntos!I17/NºAsuntos!G17," - ")</f>
        <v>0.70682730923694781</v>
      </c>
      <c r="D17" s="444">
        <f>IF(ISNUMBER('Resol  Asuntos'!D17/NºAsuntos!G17),'Resol  Asuntos'!D17/NºAsuntos!G17," - ")</f>
        <v>0.12449799196787148</v>
      </c>
      <c r="E17" s="445">
        <f>IF(ISNUMBER((NºAsuntos!C17+NºAsuntos!E17)/NºAsuntos!G17),(NºAsuntos!C17+NºAsuntos!E17)/NºAsuntos!G17," - ")</f>
        <v>1.7068273092369477</v>
      </c>
      <c r="G17" s="463"/>
    </row>
    <row r="18" spans="1:7" ht="14.25" thickTop="1" thickBot="1">
      <c r="A18" s="848" t="str">
        <f>Datos!A18</f>
        <v>TOTAL</v>
      </c>
      <c r="B18" s="858">
        <f>IF(ISNUMBER(NºAsuntos!G18/NºAsuntos!E18),NºAsuntos!G18/NºAsuntos!E18," - ")</f>
        <v>0.96102362204724412</v>
      </c>
      <c r="C18" s="859">
        <f>IF(ISNUMBER(NºAsuntos!I18/NºAsuntos!G18),NºAsuntos!I18/NºAsuntos!G18," - ")</f>
        <v>1.2421138877509217</v>
      </c>
      <c r="D18" s="862">
        <f>IF(ISNUMBER('Resol  Asuntos'!D18/NºAsuntos!G18),'Resol  Asuntos'!D18/NºAsuntos!G18," - ")</f>
        <v>0.16837361736993037</v>
      </c>
      <c r="E18" s="861">
        <f>IF(ISNUMBER((NºAsuntos!C18+NºAsuntos!E18)/NºAsuntos!G18),(NºAsuntos!C18+NºAsuntos!E18)/NºAsuntos!G18," - ")</f>
        <v>2.1974600573535437</v>
      </c>
      <c r="G18" s="463"/>
    </row>
    <row r="19" spans="1:7" ht="15.75" customHeight="1" thickTop="1" thickBot="1">
      <c r="A19" s="793" t="str">
        <f>Datos!A19</f>
        <v>TOTAL JURISDICCIONES</v>
      </c>
      <c r="B19" s="808">
        <f>IF(ISNUMBER(NºAsuntos!G19/NºAsuntos!E19),NºAsuntos!G19/NºAsuntos!E19," - ")</f>
        <v>0.96802484926000365</v>
      </c>
      <c r="C19" s="809">
        <f>IF(ISNUMBER(NºAsuntos!I19/NºAsuntos!G19),NºAsuntos!I19/NºAsuntos!G19," - ")</f>
        <v>1.7629294073235182</v>
      </c>
      <c r="D19" s="810">
        <f>IF(ISNUMBER('Resol  Asuntos'!D19/NºAsuntos!G19),'Resol  Asuntos'!D19/NºAsuntos!G19," - ")</f>
        <v>0.19630049075122688</v>
      </c>
      <c r="E19" s="811">
        <f>IF(ISNUMBER((NºAsuntos!C19+NºAsuntos!E19)/NºAsuntos!G19),(NºAsuntos!C19+NºAsuntos!E19)/NºAsuntos!G19," - ")</f>
        <v>2.7414118535296339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IQmQ4z3a8tmLVjNIisQL5gtOL5tubdZhPaEaqDNi3gmDoit2MBQBDw/UxCpzKHXE4sRW4pFdANP+KnEndBuxRA==" saltValue="2GIJSIoB2CIYYOgouTVYy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TORRENT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606</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491</v>
      </c>
      <c r="Y9" s="334">
        <f>SUM(W9:X9)</f>
        <v>491</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10694</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599</v>
      </c>
      <c r="AJ9" s="229" t="str">
        <f>IF(ISNUMBER(Datos!BW9),Datos!BW9," - ")</f>
        <v xml:space="preserve"> - </v>
      </c>
      <c r="AK9" s="228" t="str">
        <f>IF(ISNUMBER(Datos!BX9),Datos!BX9," - ")</f>
        <v xml:space="preserve"> - </v>
      </c>
      <c r="AL9" s="243">
        <f>IF(ISNUMBER(NºAsuntos!G9/NºAsuntos!E9),NºAsuntos!G9/NºAsuntos!E9," - ")</f>
        <v>0.97244506452738055</v>
      </c>
      <c r="AM9" s="260">
        <f>IF(ISNUMBER(((NºAsuntos!I9/NºAsuntos!G9)*11)/factor_trimestre),((NºAsuntos!I9/NºAsuntos!G9)*11)/factor_trimestre," - ")</f>
        <v>6.6768292682926829</v>
      </c>
      <c r="AN9" s="244">
        <f>IF(ISNUMBER('Resol  Asuntos'!D9/NºAsuntos!G9),'Resol  Asuntos'!D9/NºAsuntos!G9," - ")</f>
        <v>0.2148493543758967</v>
      </c>
      <c r="AO9" s="245">
        <f>IF(ISNUMBER((NºAsuntos!C9+NºAsuntos!E9)/NºAsuntos!G9),(NºAsuntos!C9+NºAsuntos!E9)/NºAsuntos!G9," - ")</f>
        <v>3.2238163558106168</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106</v>
      </c>
      <c r="G10" s="333">
        <f>IF(ISNUMBER(Datos!I10),Datos!I10," - ")</f>
        <v>106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17</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69</v>
      </c>
      <c r="X10" s="226">
        <f>IF(ISNUMBER(Datos!Q10),Datos!Q10," - ")</f>
        <v>10</v>
      </c>
      <c r="Y10" s="334">
        <f t="shared" ref="Y10:Y12" si="0">SUM(W10:X10)</f>
        <v>79</v>
      </c>
      <c r="Z10" s="335" t="str">
        <f>IF(ISNUMBER(Datos!CC10),Datos!CC10," - ")</f>
        <v xml:space="preserve"> - </v>
      </c>
      <c r="AA10" s="332">
        <f>IF(ISNUMBER(Datos!L10),Datos!L10,"-")</f>
        <v>103</v>
      </c>
      <c r="AB10" s="334">
        <f>IF(ISNUMBER(Datos!R10),Datos!R10," - ")</f>
        <v>74</v>
      </c>
      <c r="AC10" s="334">
        <f t="shared" ref="AC10:AC12" si="1">IF(ISNUMBER(AA10+AB10),AA10+AB10," - ")</f>
        <v>177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30</v>
      </c>
      <c r="AJ10" s="231" t="str">
        <f>IF(ISNUMBER(Datos!BW10),Datos!BW10," - ")</f>
        <v xml:space="preserve"> - </v>
      </c>
      <c r="AK10" s="232" t="str">
        <f>IF(ISNUMBER(Datos!BX10),Datos!BX10," - ")</f>
        <v xml:space="preserve"> - </v>
      </c>
      <c r="AL10" s="243">
        <f>IF(ISNUMBER(NºAsuntos!G10/NºAsuntos!E10),NºAsuntos!G10/NºAsuntos!E10," - ")</f>
        <v>1.0454545454545454</v>
      </c>
      <c r="AM10" s="260">
        <f>IF(ISNUMBER(((NºAsuntos!I10/NºAsuntos!G10)*11)/factor_trimestre),((NºAsuntos!I10/NºAsuntos!G10)*11)/factor_trimestre," - ")</f>
        <v>4.4782608695652177</v>
      </c>
      <c r="AN10" s="244">
        <f>IF(ISNUMBER('Resol  Asuntos'!D10/NºAsuntos!G10),'Resol  Asuntos'!D10/NºAsuntos!G10," - ")</f>
        <v>0.43478260869565216</v>
      </c>
      <c r="AO10" s="245">
        <f>IF(ISNUMBER((NºAsuntos!C10+NºAsuntos!E10)/NºAsuntos!G10),(NºAsuntos!C10+NºAsuntos!E10)/NºAsuntos!G10," - ")</f>
        <v>2.4927536231884058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106</v>
      </c>
      <c r="G13" s="866">
        <f t="shared" si="3"/>
        <v>106</v>
      </c>
      <c r="H13" s="865">
        <f t="shared" si="3"/>
        <v>0</v>
      </c>
      <c r="I13" s="867">
        <f t="shared" si="3"/>
        <v>0</v>
      </c>
      <c r="J13" s="867">
        <f t="shared" si="3"/>
        <v>0</v>
      </c>
      <c r="K13" s="867">
        <f t="shared" si="3"/>
        <v>0</v>
      </c>
      <c r="L13" s="867">
        <f t="shared" si="3"/>
        <v>623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69</v>
      </c>
      <c r="X13" s="867">
        <f t="shared" si="4"/>
        <v>501</v>
      </c>
      <c r="Y13" s="868">
        <f t="shared" si="4"/>
        <v>570</v>
      </c>
      <c r="Z13" s="868">
        <f t="shared" si="4"/>
        <v>0</v>
      </c>
      <c r="AA13" s="868">
        <f t="shared" si="4"/>
        <v>103</v>
      </c>
      <c r="AB13" s="868">
        <f t="shared" si="4"/>
        <v>10768</v>
      </c>
      <c r="AC13" s="868">
        <f t="shared" si="4"/>
        <v>177</v>
      </c>
      <c r="AD13" s="868">
        <f t="shared" si="4"/>
        <v>0</v>
      </c>
      <c r="AE13" s="872">
        <f t="shared" si="4"/>
        <v>0</v>
      </c>
      <c r="AF13" s="865">
        <f t="shared" si="4"/>
        <v>0</v>
      </c>
      <c r="AG13" s="873">
        <f t="shared" si="4"/>
        <v>0</v>
      </c>
      <c r="AH13" s="870">
        <f t="shared" si="4"/>
        <v>0</v>
      </c>
      <c r="AI13" s="865">
        <f t="shared" si="4"/>
        <v>629</v>
      </c>
      <c r="AJ13" s="867">
        <f t="shared" si="4"/>
        <v>0</v>
      </c>
      <c r="AK13" s="870">
        <f>SUBTOTAL(9,AK9:AK12)</f>
        <v>0</v>
      </c>
      <c r="AL13" s="874">
        <f>IF(ISNUMBER(NºAsuntos!G13/NºAsuntos!E13),NºAsuntos!G13/NºAsuntos!E13," - ")</f>
        <v>0.97408796454142521</v>
      </c>
      <c r="AM13" s="874">
        <f>IF(ISNUMBER(((NºAsuntos!I13/NºAsuntos!G13)*11)/factor_trimestre),((NºAsuntos!I13/NºAsuntos!G13)*11)/factor_trimestre," - ")</f>
        <v>6.6237311865593291</v>
      </c>
      <c r="AN13" s="875">
        <f>IF(ISNUMBER('Resol  Asuntos'!D13/NºAsuntos!G13),'Resol  Asuntos'!D13/NºAsuntos!G13," - ")</f>
        <v>0.22016100805040251</v>
      </c>
      <c r="AO13" s="876">
        <f>IF(ISNUMBER((NºAsuntos!C13+NºAsuntos!E13)/NºAsuntos!G13),(NºAsuntos!C13+NºAsuntos!E13)/NºAsuntos!G13," - ")</f>
        <v>3.2061603080154009</v>
      </c>
      <c r="AP13" s="877" t="str">
        <f t="shared" si="2"/>
        <v xml:space="preserve"> - </v>
      </c>
      <c r="AQ13" s="877">
        <f>IF(ISNUMBER((H13-W13+K13)/(F13)),(H13-W13+K13)/(F13)," - ")</f>
        <v>-0.65094339622641506</v>
      </c>
      <c r="AR13" s="878">
        <f>IF(ISNUMBER((Datos!P13-Datos!Q13)/(Datos!R13-Datos!P13+Datos!Q13)),(Datos!P13-Datos!Q13)/(Datos!R13-Datos!P13+Datos!Q13)," - ")</f>
        <v>1.1459703174901371E-2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2534</v>
      </c>
      <c r="G15" s="333">
        <f>IF(ISNUMBER(IF(D_I="SI",Datos!I15,Datos!I15+Datos!AC15)),IF(D_I="SI",Datos!I15,Datos!I15+Datos!AC15)," - ")</f>
        <v>2425</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101</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1943</v>
      </c>
      <c r="X15" s="226">
        <f>IF(ISNUMBER(Datos!Q15),Datos!Q15," - ")</f>
        <v>178</v>
      </c>
      <c r="Y15" s="334">
        <f>SUM(W15)</f>
        <v>1943</v>
      </c>
      <c r="Z15" s="335" t="str">
        <f>IF(ISNUMBER(Datos!CC15),Datos!CC15," - ")</f>
        <v xml:space="preserve"> - </v>
      </c>
      <c r="AA15" s="332">
        <f>IF(ISNUMBER(IF(D_I="SI",Datos!L15,Datos!L15+Datos!AF15)),IF(D_I="SI",Datos!L15,Datos!L15+Datos!AF15)," - ")</f>
        <v>2680</v>
      </c>
      <c r="AB15" s="334">
        <f>IF(ISNUMBER(Datos!R15),Datos!R15," - ")</f>
        <v>488</v>
      </c>
      <c r="AC15" s="334">
        <f t="shared" ref="AC15:AC17" si="6">IF(ISNUMBER(AA15+AB15),AA15+AB15," - ")</f>
        <v>3168</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349</v>
      </c>
      <c r="AJ15" s="231" t="str">
        <f>IF(ISNUMBER(Datos!BW15),Datos!BW15," - ")</f>
        <v xml:space="preserve"> - </v>
      </c>
      <c r="AK15" s="232" t="str">
        <f>IF(ISNUMBER(Datos!BX15),Datos!BX15," - ")</f>
        <v xml:space="preserve"> - </v>
      </c>
      <c r="AL15" s="243">
        <f>IF(ISNUMBER(NºAsuntos!G15/NºAsuntos!E15),NºAsuntos!G15/NºAsuntos!E15," - ")</f>
        <v>0.93011010052656773</v>
      </c>
      <c r="AM15" s="260">
        <f>IF(ISNUMBER(((NºAsuntos!I15/NºAsuntos!G15)*11)/factor_trimestre),((NºAsuntos!I15/NºAsuntos!G15)*11)/factor_trimestre," - ")</f>
        <v>4.1379310344827589</v>
      </c>
      <c r="AN15" s="244">
        <f>IF(ISNUMBER('Resol  Asuntos'!D15/NºAsuntos!G15),'Resol  Asuntos'!D15/NºAsuntos!G15," - ")</f>
        <v>0.17961914565105508</v>
      </c>
      <c r="AO15" s="245">
        <f>IF(ISNUMBER((NºAsuntos!C15+NºAsuntos!E15)/NºAsuntos!G15),(NºAsuntos!C15+NºAsuntos!E15)/NºAsuntos!G15," - ")</f>
        <v>2.3232115285640762</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399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15</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498</v>
      </c>
      <c r="X17" s="226">
        <f>IF(ISNUMBER(Datos!Q17),Datos!Q17," - ")</f>
        <v>18</v>
      </c>
      <c r="Y17" s="334">
        <f t="shared" si="7"/>
        <v>516</v>
      </c>
      <c r="Z17" s="335" t="str">
        <f>IF(ISNUMBER(Datos!CC17),Datos!CC17," - ")</f>
        <v xml:space="preserve"> - </v>
      </c>
      <c r="AA17" s="332">
        <f>IF(ISNUMBER(Datos!L17),Datos!L17,"-")</f>
        <v>352</v>
      </c>
      <c r="AB17" s="334">
        <f>IF(ISNUMBER(Datos!R17),Datos!R17," - ")</f>
        <v>22</v>
      </c>
      <c r="AC17" s="334">
        <f t="shared" si="6"/>
        <v>374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62</v>
      </c>
      <c r="AJ17" s="231" t="str">
        <f>IF(ISNUMBER(Datos!BW17),Datos!BW17," - ")</f>
        <v xml:space="preserve"> - </v>
      </c>
      <c r="AK17" s="232" t="str">
        <f>IF(ISNUMBER(Datos!BX17),Datos!BX17," - ")</f>
        <v xml:space="preserve"> - </v>
      </c>
      <c r="AL17" s="243">
        <f>IF(ISNUMBER(NºAsuntos!G17/NºAsuntos!E17),NºAsuntos!G17/NºAsuntos!E17," - ")</f>
        <v>1.1042128603104213</v>
      </c>
      <c r="AM17" s="260">
        <f>IF(ISNUMBER(((NºAsuntos!I17/NºAsuntos!G17)*11)/factor_trimestre),((NºAsuntos!I17/NºAsuntos!G17)*11)/factor_trimestre," - ")</f>
        <v>2.1204819277108435</v>
      </c>
      <c r="AN17" s="244">
        <f>IF(ISNUMBER('Resol  Asuntos'!D17/NºAsuntos!G17),'Resol  Asuntos'!D17/NºAsuntos!G17," - ")</f>
        <v>0.12449799196787148</v>
      </c>
      <c r="AO17" s="245">
        <f>IF(ISNUMBER((NºAsuntos!C17+NºAsuntos!E17)/NºAsuntos!G17),(NºAsuntos!C17+NºAsuntos!E17)/NºAsuntos!G17," - ")</f>
        <v>1.7068273092369477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2534</v>
      </c>
      <c r="G18" s="866">
        <f>SUBTOTAL(9,G15:G17)</f>
        <v>2824</v>
      </c>
      <c r="H18" s="865">
        <f t="shared" ref="H18:O18" si="10">SUBTOTAL(9,H14:H17)</f>
        <v>0</v>
      </c>
      <c r="I18" s="867">
        <f t="shared" si="10"/>
        <v>0</v>
      </c>
      <c r="J18" s="867">
        <f t="shared" si="10"/>
        <v>0</v>
      </c>
      <c r="K18" s="867">
        <f t="shared" si="10"/>
        <v>0</v>
      </c>
      <c r="L18" s="867">
        <f t="shared" si="10"/>
        <v>116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2441</v>
      </c>
      <c r="X18" s="867">
        <f t="shared" si="11"/>
        <v>196</v>
      </c>
      <c r="Y18" s="868">
        <f t="shared" si="11"/>
        <v>2459</v>
      </c>
      <c r="Z18" s="868">
        <f t="shared" si="11"/>
        <v>0</v>
      </c>
      <c r="AA18" s="868">
        <f t="shared" si="11"/>
        <v>3032</v>
      </c>
      <c r="AB18" s="868">
        <f t="shared" si="11"/>
        <v>510</v>
      </c>
      <c r="AC18" s="868">
        <f t="shared" si="11"/>
        <v>3542</v>
      </c>
      <c r="AD18" s="868">
        <f t="shared" si="11"/>
        <v>0</v>
      </c>
      <c r="AE18" s="872">
        <f t="shared" si="11"/>
        <v>0</v>
      </c>
      <c r="AF18" s="865">
        <f t="shared" si="11"/>
        <v>0</v>
      </c>
      <c r="AG18" s="873">
        <f t="shared" si="11"/>
        <v>0</v>
      </c>
      <c r="AH18" s="870">
        <f t="shared" si="11"/>
        <v>0</v>
      </c>
      <c r="AI18" s="865">
        <f t="shared" si="11"/>
        <v>411</v>
      </c>
      <c r="AJ18" s="867">
        <f t="shared" si="11"/>
        <v>0</v>
      </c>
      <c r="AK18" s="870">
        <f t="shared" si="11"/>
        <v>0</v>
      </c>
      <c r="AL18" s="874">
        <f>IF(ISNUMBER(NºAsuntos!G18/NºAsuntos!E18),NºAsuntos!G18/NºAsuntos!E18," - ")</f>
        <v>0.96102362204724412</v>
      </c>
      <c r="AM18" s="874">
        <f>IF(ISNUMBER(((NºAsuntos!I18/NºAsuntos!G18)*11)/factor_trimestre),((NºAsuntos!I18/NºAsuntos!G18)*11)/factor_trimestre," - ")</f>
        <v>3.7263416632527648</v>
      </c>
      <c r="AN18" s="875">
        <f>IF(ISNUMBER('Resol  Asuntos'!D18/NºAsuntos!G18),'Resol  Asuntos'!D18/NºAsuntos!G18," - ")</f>
        <v>0.16837361736993037</v>
      </c>
      <c r="AO18" s="876">
        <f>IF(ISNUMBER((NºAsuntos!C18+NºAsuntos!E18)/NºAsuntos!G18),(NºAsuntos!C18+NºAsuntos!E18)/NºAsuntos!G18," - ")</f>
        <v>2.1974600573535437</v>
      </c>
      <c r="AP18" s="877" t="str">
        <f t="shared" si="2"/>
        <v xml:space="preserve"> - </v>
      </c>
      <c r="AQ18" s="877">
        <f>IF(ISNUMBER((H18-W18+K18)/(F18)),(H18-W18+K18)/(F18)," - ")</f>
        <v>-0.96329913180741911</v>
      </c>
      <c r="AR18" s="878">
        <f>IF(ISNUMBER((Datos!P18-Datos!Q18)/(Datos!R18-Datos!P18+Datos!Q18)),(Datos!P18-Datos!Q18)/(Datos!R18-Datos!P18+Datos!Q18)," - ")</f>
        <v>-0.13559322033898305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11</v>
      </c>
      <c r="F19" s="820">
        <f t="shared" si="13"/>
        <v>2640</v>
      </c>
      <c r="G19" s="821">
        <f t="shared" si="13"/>
        <v>2930</v>
      </c>
      <c r="H19" s="820">
        <f t="shared" si="13"/>
        <v>0</v>
      </c>
      <c r="I19" s="822">
        <f t="shared" si="13"/>
        <v>0</v>
      </c>
      <c r="J19" s="822">
        <f t="shared" si="13"/>
        <v>0</v>
      </c>
      <c r="K19" s="881">
        <f t="shared" si="13"/>
        <v>0</v>
      </c>
      <c r="L19" s="822">
        <f t="shared" si="13"/>
        <v>739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2510</v>
      </c>
      <c r="X19" s="821">
        <f t="shared" si="14"/>
        <v>697</v>
      </c>
      <c r="Y19" s="828">
        <f t="shared" si="14"/>
        <v>3029</v>
      </c>
      <c r="Z19" s="828">
        <f t="shared" si="14"/>
        <v>0</v>
      </c>
      <c r="AA19" s="828">
        <f t="shared" si="14"/>
        <v>3135</v>
      </c>
      <c r="AB19" s="828">
        <f t="shared" si="14"/>
        <v>11278</v>
      </c>
      <c r="AC19" s="828">
        <f t="shared" si="14"/>
        <v>3719</v>
      </c>
      <c r="AD19" s="828">
        <f t="shared" si="14"/>
        <v>0</v>
      </c>
      <c r="AE19" s="830">
        <f t="shared" si="14"/>
        <v>0</v>
      </c>
      <c r="AF19" s="831">
        <f t="shared" si="14"/>
        <v>0</v>
      </c>
      <c r="AG19" s="832">
        <f t="shared" si="14"/>
        <v>0</v>
      </c>
      <c r="AH19" s="830">
        <f t="shared" si="14"/>
        <v>0</v>
      </c>
      <c r="AI19" s="820">
        <f t="shared" si="14"/>
        <v>1040</v>
      </c>
      <c r="AJ19" s="820">
        <f t="shared" si="14"/>
        <v>0</v>
      </c>
      <c r="AK19" s="830">
        <f t="shared" si="14"/>
        <v>0</v>
      </c>
      <c r="AL19" s="884">
        <f>IF(ISNUMBER(NºAsuntos!G19/NºAsuntos!E19),NºAsuntos!G19/NºAsuntos!E19," - ")</f>
        <v>0.96802484926000365</v>
      </c>
      <c r="AM19" s="885">
        <f>IF(ISNUMBER(((NºAsuntos!I19/NºAsuntos!G19)*11)/factor_trimestre),((NºAsuntos!I19/NºAsuntos!G19)*11)/factor_trimestre," - ")</f>
        <v>5.2887882219705551</v>
      </c>
      <c r="AN19" s="885">
        <f>IF(ISNUMBER('Resol  Asuntos'!D19/NºAsuntos!G19),'Resol  Asuntos'!D19/NºAsuntos!G19," - ")</f>
        <v>0.19630049075122688</v>
      </c>
      <c r="AO19" s="886">
        <f>IF(ISNUMBER((NºAsuntos!C19+NºAsuntos!E19)/NºAsuntos!G19),(NºAsuntos!C19+NºAsuntos!E19)/NºAsuntos!G19," - ")</f>
        <v>2.7414118535296339</v>
      </c>
      <c r="AP19" s="887" t="str">
        <f t="shared" si="2"/>
        <v xml:space="preserve"> - </v>
      </c>
      <c r="AQ19" s="888">
        <f>IF(OR(ISNUMBER(FIND("01",Criterios!A8,1)),ISNUMBER(FIND("02",Criterios!A8,1)),ISNUMBER(FIND("03",Criterios!A8,1)),ISNUMBER(FIND("04",Criterios!A8,1))),(I19-W19+K19)/(F19-K19),(H19-W19+K19)/(F19-K19))</f>
        <v>-0.9507575757575758</v>
      </c>
      <c r="AR19" s="889">
        <f>IF(ISNUMBER((Datos!P19-Datos!Q19)/(Datos!R19-Datos!P19+Datos!Q19)),(Datos!P19-Datos!Q19)/(Datos!R19-Datos!P19+Datos!Q19)," - ")</f>
        <v>3.737985048059808E-3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2.6977356760397742</v>
      </c>
      <c r="F21" s="252">
        <f>IF(ISNUMBER(STDEV(F8:F18)),STDEV(F8:F18),"-")</f>
        <v>1401.8064535924113</v>
      </c>
      <c r="G21" s="253">
        <f>IF(ISNUMBER(STDEV(G8:G18)),STDEV(G8:G18),"-")</f>
        <v>1338.7824692607833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1112.5619083898207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256.45324460155825</v>
      </c>
      <c r="AJ21" s="252">
        <f t="shared" si="18"/>
        <v>0</v>
      </c>
      <c r="AK21" s="254">
        <f t="shared" si="18"/>
        <v>0</v>
      </c>
      <c r="AL21" s="249">
        <f t="shared" si="18"/>
        <v>6.4395904888989039E-2</v>
      </c>
      <c r="AM21" s="250">
        <f t="shared" si="18"/>
        <v>1.7631712971127134</v>
      </c>
      <c r="AN21" s="250">
        <f t="shared" si="18"/>
        <v>0.10907968981443726</v>
      </c>
      <c r="AO21" s="251">
        <f t="shared" si="18"/>
        <v>0.59510856783803878</v>
      </c>
      <c r="AP21" s="291" t="str">
        <f t="shared" si="18"/>
        <v>-</v>
      </c>
      <c r="AQ21" s="292">
        <f t="shared" si="18"/>
        <v>0.22086885877184032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o2CAb94y4PvGXzUIjbGtvPdTUuoSydPN47ey8MhaJRhmXRRdUse7dy9NxZ0xoixJhUInQMq/aULQGx7fL8E59Q==" saltValue="RhimJPPNfHSpo54HVVwyp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TORRENT</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-4.9206349206349205E-2</v>
      </c>
      <c r="I9" s="350">
        <f>IF(ISNUMBER((Tasas!C9-Datos!BE9)/Datos!BE9),(Tasas!C9-Datos!BE9)/Datos!BE9," - ")</f>
        <v>0.12465769759845315</v>
      </c>
      <c r="J9" s="349">
        <f>IF(ISNUMBER((Tasas!D9-Datos!BF9)/Datos!BF9),(Tasas!D9-Datos!BF9)/Datos!BF9," - ")</f>
        <v>-0.49775926368025442</v>
      </c>
      <c r="K9" s="351">
        <f>IF(ISNUMBER((Tasas!E9-Datos!BG9)/Datos!BG9),(Tasas!E9-Datos!BG9)/Datos!BG9," - ")</f>
        <v>8.2209086383937521E-2</v>
      </c>
      <c r="M9" t="e">
        <f>IF(Monitorios="SI",Datos!CE9,0)</f>
        <v>#REF!</v>
      </c>
      <c r="N9" t="e">
        <f>IF(Monitorios="SI",Datos!CF9,0)</f>
        <v>#REF!</v>
      </c>
      <c r="O9" t="e">
        <f>IF(Monitorios="SI",Datos!CG9,0)</f>
        <v>#REF!</v>
      </c>
      <c r="P9" t="e">
        <f>IF(Monitorios="SI",Datos!CH9,0)</f>
        <v>#REF!</v>
      </c>
      <c r="Q9">
        <f>IF(J_V="SI",0,Datos!AG9)</f>
        <v>272</v>
      </c>
      <c r="R9">
        <f>IF(J_V="SI",0,Datos!AH9)</f>
        <v>236</v>
      </c>
      <c r="S9">
        <f>IF(J_V="SI",0,Datos!AI9)</f>
        <v>254</v>
      </c>
      <c r="T9">
        <f>IF(J_V="SI",0,Datos!AJ9)</f>
        <v>254</v>
      </c>
    </row>
    <row r="10" spans="2:20" ht="14.25">
      <c r="B10" s="275" t="s">
        <v>246</v>
      </c>
      <c r="C10" s="7" t="str">
        <f>Datos!A10</f>
        <v>Jdos. Violencia contra la mujer</v>
      </c>
      <c r="D10" s="352">
        <f>IF(ISNUMBER((Datos!I10-Datos!S10)/Datos!S10),(Datos!I10-Datos!S10)/Datos!S10," - ")</f>
        <v>0</v>
      </c>
      <c r="E10" s="348">
        <f>IF(ISNUMBER((Datos!J10-Datos!T10)/Datos!T10),(Datos!J10-Datos!T10)/Datos!T10," - ")</f>
        <v>-0.34653465346534651</v>
      </c>
      <c r="F10" s="348">
        <f>IF(ISNUMBER((Datos!K10-Datos!U10)/Datos!U10),(Datos!K10-Datos!U10)/Datos!U10," - ")</f>
        <v>-0.21590909090909091</v>
      </c>
      <c r="G10" s="349">
        <f>IF(ISNUMBER((Datos!L10-Datos!V10)/Datos!V10),(Datos!L10-Datos!V10)/Datos!V10," - ")</f>
        <v>-0.13445378151260504</v>
      </c>
      <c r="H10" s="230">
        <f>IF(ISNUMBER((Datos!M10-Datos!W10)/Datos!W10),(Datos!M10-Datos!W10)/Datos!W10," - ")</f>
        <v>0.36363636363636365</v>
      </c>
      <c r="I10" s="350">
        <f>IF(ISNUMBER((Tasas!C10-Datos!BE10)/Datos!BE10),(Tasas!C10-Datos!BE10)/Datos!BE10," - ")</f>
        <v>0.10388503227377904</v>
      </c>
      <c r="J10" s="349">
        <f>IF(ISNUMBER((Tasas!D10-Datos!BF10)/Datos!BF10),(Tasas!D10-Datos!BF10)/Datos!BF10," - ")</f>
        <v>0.73913043478260865</v>
      </c>
      <c r="K10" s="351">
        <f>IF(ISNUMBER((Tasas!E10-Datos!BG10)/Datos!BG10),(Tasas!E10-Datos!BG10)/Datos!BG10," - ")</f>
        <v>5.9721347055940704E-2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-3.5276073619631899E-2</v>
      </c>
      <c r="I13" s="357">
        <f>IF(ISNUMBER((Tasas!C13-Datos!BE13)/Datos!BE13),(Tasas!C13-Datos!BE13)/Datos!BE13," - ")</f>
        <v>0.1262382482791605</v>
      </c>
      <c r="J13" s="355">
        <f>IF(ISNUMBER((Tasas!D13-Datos!BF13)/Datos!BF13),(Tasas!D13-Datos!BF13)/Datos!BF13," - ")</f>
        <v>-0.47895228094738074</v>
      </c>
      <c r="K13" s="358">
        <f>IF(ISNUMBER((Tasas!E13-Datos!BG13)/Datos!BG13),(Tasas!E13-Datos!BG13)/Datos!BG13," - ")</f>
        <v>8.3005215054590464E-2</v>
      </c>
      <c r="M13" t="e">
        <f>IF(Monitorios="SI",Datos!CE13,0)</f>
        <v>#REF!</v>
      </c>
      <c r="N13" t="e">
        <f>IF(Monitorios="SI",Datos!CF13,0)</f>
        <v>#REF!</v>
      </c>
      <c r="O13" t="e">
        <f>IF(Monitorios="SI",Datos!CG13,0)</f>
        <v>#REF!</v>
      </c>
      <c r="P13" t="e">
        <f>IF(Monitorios="SI",Datos!CH13,0)</f>
        <v>#REF!</v>
      </c>
      <c r="Q13">
        <f>IF(J_V="SI",0,Datos!AG13)</f>
        <v>272</v>
      </c>
      <c r="R13">
        <f>IF(J_V="SI",0,Datos!AH13)</f>
        <v>236</v>
      </c>
      <c r="S13">
        <f>IF(J_V="SI",0,Datos!AI13)</f>
        <v>254</v>
      </c>
      <c r="T13">
        <f>IF(J_V="SI",0,Datos!AJ13)</f>
        <v>254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7.8736654804270459E-2</v>
      </c>
      <c r="E15" s="348">
        <f>IF(ISNUMBER(
   IF(D_I="SI",(Datos!J15-Datos!T15)/Datos!T15,(Datos!J15+Datos!AD15-(Datos!T15+Datos!AL15))/(Datos!T15+Datos!AL15))
     ),IF(D_I="SI",(Datos!J15-Datos!T15)/Datos!T15,(Datos!J15+Datos!AD15-(Datos!T15+Datos!AL15))/(Datos!T15+Datos!AL15))," - ")</f>
        <v>-7.4435090828533446E-2</v>
      </c>
      <c r="F15" s="348">
        <f>IF(ISNUMBER(
   IF(D_I="SI",(Datos!K15-Datos!U15)/Datos!U15,(Datos!K15+Datos!AE15-(Datos!U15+Datos!AM15))/(Datos!U15+Datos!AM15))
     ),IF(D_I="SI",(Datos!K15-Datos!U15)/Datos!U15,(Datos!K15+Datos!AE15-(Datos!U15+Datos!AM15))/(Datos!U15+Datos!AM15))," - ")</f>
        <v>-0.14405286343612334</v>
      </c>
      <c r="G15" s="349">
        <f>IF(ISNUMBER(
   IF(D_I="SI",(Datos!L15-Datos!V15)/Datos!V15,(Datos!L15+Datos!AF15-(Datos!V15+Datos!AN15))/(Datos!V15+Datos!AN15))
     ),IF(D_I="SI",(Datos!L15-Datos!V15)/Datos!V15,(Datos!L15+Datos!AF15-(Datos!V15+Datos!AN15))/(Datos!V15+Datos!AN15))," - ")</f>
        <v>0.19910514541387025</v>
      </c>
      <c r="H15" s="230">
        <f>IF(ISNUMBER((Datos!M15-Datos!W15)/Datos!W15),(Datos!M15-Datos!W15)/Datos!W15," - ")</f>
        <v>-0.2920892494929006</v>
      </c>
      <c r="I15" s="350">
        <f>IF(ISNUMBER((Tasas!C15-Datos!BE15)/Datos!BE15),(Tasas!C15-Datos!BE15)/Datos!BE15," - ")</f>
        <v>0.40091028311347693</v>
      </c>
      <c r="J15" s="349">
        <f>IF(ISNUMBER((Tasas!D15-Datos!BF15)/Datos!BF15),(Tasas!D15-Datos!BF15)/Datos!BF15," - ")</f>
        <v>-0.17295038412191674</v>
      </c>
      <c r="K15" s="351">
        <f>IF(ISNUMBER((Tasas!E15-Datos!BG15)/Datos!BG15),(Tasas!E15-Datos!BG15)/Datos!BG15," - ")</f>
        <v>0.17063044835526148</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2.5125628140703518E-3</v>
      </c>
      <c r="E17" s="348">
        <f>IF(ISNUMBER(
   IF(D_I="SI",(Datos!J17-Datos!T17)/Datos!T17,(Datos!J17+Datos!AD17-(Datos!T17+Datos!AL17))/(Datos!T17+Datos!AL17))
     ),IF(D_I="SI",(Datos!J17-Datos!T17)/Datos!T17,(Datos!J17+Datos!AD17-(Datos!T17+Datos!AL17))/(Datos!T17+Datos!AL17))," - ")</f>
        <v>0.20911528150134048</v>
      </c>
      <c r="F17" s="348">
        <f>IF(ISNUMBER(
   IF(D_I="SI",(Datos!K17-Datos!U17)/Datos!U17,(Datos!K17+Datos!AE17-(Datos!U17+Datos!AM17))/(Datos!U17+Datos!AM17))
     ),IF(D_I="SI",(Datos!K17-Datos!U17)/Datos!U17,(Datos!K17+Datos!AE17-(Datos!U17+Datos!AM17))/(Datos!U17+Datos!AM17))," - ")</f>
        <v>0.6064516129032258</v>
      </c>
      <c r="G17" s="349">
        <f>IF(ISNUMBER(
   IF(D_I="SI",(Datos!L17-Datos!V17)/Datos!V17,(Datos!L17+Datos!AF17-(Datos!V17+Datos!AN17))/(Datos!V17+Datos!AN17))
     ),IF(D_I="SI",(Datos!L17-Datos!V17)/Datos!V17,(Datos!L17+Datos!AF17-(Datos!V17+Datos!AN17))/(Datos!V17+Datos!AN17))," - ")</f>
        <v>-0.2413793103448276</v>
      </c>
      <c r="H17" s="230">
        <f>IF(ISNUMBER((Datos!M17-Datos!W17)/Datos!W17),(Datos!M17-Datos!W17)/Datos!W17," - ")</f>
        <v>-0.11428571428571428</v>
      </c>
      <c r="I17" s="350">
        <f>IF(ISNUMBER((Tasas!C17-Datos!BE17)/Datos!BE17),(Tasas!C17-Datos!BE17)/Datos!BE17," - ")</f>
        <v>-0.52776623736324613</v>
      </c>
      <c r="J17" s="349">
        <f>IF(ISNUMBER((Tasas!D17-Datos!BF17)/Datos!BF17),(Tasas!D17-Datos!BF17)/Datos!BF17," - ")</f>
        <v>-0.44865174985656914</v>
      </c>
      <c r="K17" s="351">
        <f>IF(ISNUMBER((Tasas!E17-Datos!BG17)/Datos!BG17),(Tasas!E17-Datos!BG17)/Datos!BG17," - ")</f>
        <v>-0.31372702222638943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6.7271352985638702E-2</v>
      </c>
      <c r="E18" s="354">
        <f>IF(ISNUMBER(
   IF(D_I="SI",(Datos!J18-Datos!T18)/Datos!T18,(Datos!J18+Datos!AD18-(Datos!T18+Datos!AL18))/(Datos!T18+Datos!AL18))
     ),IF(D_I="SI",(Datos!J18-Datos!T18)/Datos!T18,(Datos!J18+Datos!AD18-(Datos!T18+Datos!AL18))/(Datos!T18+Datos!AL18))," - ")</f>
        <v>-3.4220532319391636E-2</v>
      </c>
      <c r="F18" s="354">
        <f>IF(ISNUMBER(
   IF(D_I="SI",(Datos!K18-Datos!U18)/Datos!U18,(Datos!K18+Datos!AE18-(Datos!U18+Datos!AM18))/(Datos!U18+Datos!AM18))
     ),IF(D_I="SI",(Datos!K18-Datos!U18)/Datos!U18,(Datos!K18+Datos!AE18-(Datos!U18+Datos!AM18))/(Datos!U18+Datos!AM18))," - ")</f>
        <v>-5.3875968992248065E-2</v>
      </c>
      <c r="G18" s="355">
        <f>IF(ISNUMBER(
   IF(D_I="SI",(Datos!L18-Datos!V18)/Datos!V18,(Datos!L18+Datos!AF18-(Datos!V18+Datos!AN18))/(Datos!V18+Datos!AN18))
     ),IF(D_I="SI",(Datos!L18-Datos!V18)/Datos!V18,(Datos!L18+Datos!AF18-(Datos!V18+Datos!AN18))/(Datos!V18+Datos!AN18))," - ")</f>
        <v>0.12337902927010004</v>
      </c>
      <c r="H18" s="356">
        <f>IF(ISNUMBER((Datos!M18-Datos!W18)/Datos!W18),(Datos!M18-Datos!W18)/Datos!W18," - ")</f>
        <v>-0.26998223801065718</v>
      </c>
      <c r="I18" s="357">
        <f>IF(ISNUMBER((Tasas!C18-Datos!BE18)/Datos!BE18),(Tasas!C18-Datos!BE18)/Datos!BE18," - ")</f>
        <v>0.18734858480821706</v>
      </c>
      <c r="J18" s="355">
        <f>IF(ISNUMBER((Tasas!D18-Datos!BF18)/Datos!BF18),(Tasas!D18-Datos!BF18)/Datos!BF18," - ")</f>
        <v>-0.22841219748770805</v>
      </c>
      <c r="K18" s="358">
        <f>IF(ISNUMBER((Tasas!E18-Datos!BG18)/Datos!BG18),(Tasas!E18-Datos!BG18)/Datos!BG18," - ")</f>
        <v>7.4572962087214353E-2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0.13577613251348977</v>
      </c>
      <c r="E19" s="363">
        <f>IF(ISNUMBER(
   IF(J_V="SI",(Datos!J19-Datos!T19)/Datos!T19,(Datos!J19+Datos!Z19-(Datos!T19+Datos!AH19))/(Datos!T19+Datos!AH19))
     ),IF(J_V="SI",(Datos!J19-Datos!T19)/Datos!T19,(Datos!J19+Datos!Z19-(Datos!T19+Datos!AH19))/(Datos!T19+Datos!AH19))," - ")</f>
        <v>-0.10790546047269764</v>
      </c>
      <c r="F19" s="363">
        <f>IF(ISNUMBER(
   IF(J_V="SI",(Datos!K19-Datos!U19)/Datos!U19,(Datos!K19+Datos!AA19-(Datos!U19+Datos!AI19))/(Datos!U19+Datos!AI19))
     ),IF(J_V="SI",(Datos!K19-Datos!U19)/Datos!U19,(Datos!K19+Datos!AA19-(Datos!U19+Datos!AI19))/(Datos!U19+Datos!AI19))," - ")</f>
        <v>-4.7464940668824167E-2</v>
      </c>
      <c r="G19" s="364">
        <f>IF(ISNUMBER(
   IF(J_V="SI",(Datos!L19-Datos!V19)/Datos!V19,(Datos!L19+Datos!AB19-(Datos!V19+Datos!AJ19))/(Datos!V19+Datos!AJ19))
     ),IF(J_V="SI",(Datos!L19-Datos!V19)/Datos!V19,(Datos!L19+Datos!AB19-(Datos!V19+Datos!AJ19))/(Datos!V19+Datos!AJ19))," - ")</f>
        <v>9.3036863662960795E-2</v>
      </c>
      <c r="H19" s="365">
        <f>IF(ISNUMBER((Datos!M19-Datos!W19)/Datos!W19),(Datos!M19-Datos!W19)/Datos!W19," - ")</f>
        <v>-0.1440329218106996</v>
      </c>
      <c r="I19" s="362">
        <f>IF(ISNUMBER((Tasas!C19-Datos!BE19)/Datos!BE19),(Tasas!C19-Datos!BE19)/Datos!BE19," - ")</f>
        <v>0.14750302674469384</v>
      </c>
      <c r="J19" s="363">
        <f>IF(ISNUMBER((Tasas!D19-Datos!BF19)/Datos!BF19),(Tasas!D19-Datos!BF19)/Datos!BF19," - ")</f>
        <v>-0.40108429536021734</v>
      </c>
      <c r="K19" s="364">
        <f>IF(ISNUMBER((Tasas!E19-Datos!BG19)/Datos!BG19),(Tasas!E19-Datos!BG19)/Datos!BG19," - ")</f>
        <v>8.1092791359318184E-2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4.1699795127582193E-2</v>
      </c>
      <c r="E21" s="278">
        <f t="shared" si="1"/>
        <v>0.2275879820961357</v>
      </c>
      <c r="F21" s="278">
        <f t="shared" si="1"/>
        <v>0.378056051169259</v>
      </c>
      <c r="G21" s="279">
        <f t="shared" si="1"/>
        <v>0.2085629464363212</v>
      </c>
      <c r="H21" s="285">
        <f t="shared" si="1"/>
        <v>0.23701044802957538</v>
      </c>
      <c r="I21" s="277">
        <f t="shared" si="1"/>
        <v>0.31237524137405909</v>
      </c>
      <c r="J21" s="278">
        <f t="shared" si="1"/>
        <v>0.47110545690133715</v>
      </c>
      <c r="K21" s="279">
        <f t="shared" si="1"/>
        <v>0.17101924204911878</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TgFcYpnCBoB8ZDY8splfdS6sJWeXvuiul2DhVyG4PrFbfV5kqe6wNTRclPVbNov3S2ZEXQivijW+XpjoWaM5g==" saltValue="JNqSWVeRjblBEhWhVbZTn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2025-06-03T20:58:40Z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